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ncmsoly1024.eclient.wa.lcl\ofm\ofmprofile$\TeresaG\desktop\EPPs_working\2021\"/>
    </mc:Choice>
  </mc:AlternateContent>
  <bookViews>
    <workbookView minimized="1" xWindow="0" yWindow="0" windowWidth="20430" windowHeight="7560" firstSheet="6" activeTab="8"/>
  </bookViews>
  <sheets>
    <sheet name="Tab A_Valid Values" sheetId="13" r:id="rId1"/>
    <sheet name="Tab B_Census Race Codes" sheetId="1" r:id="rId2"/>
    <sheet name="Tab C_Endorsement Codes" sheetId="2" r:id="rId3"/>
    <sheet name="Tab D_OSPI Bldg Codes" sheetId="4" r:id="rId4"/>
    <sheet name="Tab D1_Private Schl Bldg Codes" sheetId="12" r:id="rId5"/>
    <sheet name="Tab E_Institution Codes" sheetId="3" r:id="rId6"/>
    <sheet name="Tab F_Standards_Domains" sheetId="7" r:id="rId7"/>
    <sheet name="Tab G_Basic Skills Assessments" sheetId="8" r:id="rId8"/>
    <sheet name="Tab H_Full List" sheetId="6" r:id="rId9"/>
  </sheets>
  <definedNames>
    <definedName name="_xlnm._FilterDatabase" localSheetId="0" hidden="1">'Tab A_Valid Values'!$A$1:$N$60</definedName>
    <definedName name="_xlnm._FilterDatabase" localSheetId="3" hidden="1">'Tab D_OSPI Bldg Codes'!$A$1:$E$2455</definedName>
    <definedName name="_xlnm._FilterDatabase" localSheetId="6" hidden="1">'Tab F_Standards_Domains'!$A$1:$A$132</definedName>
    <definedName name="_xlnm._FilterDatabase" localSheetId="8" hidden="1">'Tab H_Full List'!$A$1:$N$108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55" i="4" l="1"/>
  <c r="A2455" i="4"/>
  <c r="D2454" i="4"/>
  <c r="A2454" i="4"/>
  <c r="D2453" i="4"/>
  <c r="A2453" i="4"/>
  <c r="D2452" i="4"/>
  <c r="A2452" i="4"/>
  <c r="D2451" i="4"/>
  <c r="A2451" i="4"/>
  <c r="D2450" i="4"/>
  <c r="A2450" i="4"/>
  <c r="D2449" i="4"/>
  <c r="A2449" i="4"/>
  <c r="D2448" i="4"/>
  <c r="A2448" i="4"/>
  <c r="D2447" i="4"/>
  <c r="A2447" i="4"/>
  <c r="D2446" i="4"/>
  <c r="A2446" i="4"/>
  <c r="D2445" i="4"/>
  <c r="A2445" i="4"/>
  <c r="D2444" i="4"/>
  <c r="A2444" i="4"/>
  <c r="D2443" i="4"/>
  <c r="A2443" i="4"/>
  <c r="D2442" i="4"/>
  <c r="A2442" i="4"/>
  <c r="D2441" i="4"/>
  <c r="A2441" i="4"/>
  <c r="D2440" i="4"/>
  <c r="A2440" i="4"/>
  <c r="D2439" i="4"/>
  <c r="A2439" i="4"/>
  <c r="D2438" i="4"/>
  <c r="A2438" i="4"/>
  <c r="D2437" i="4"/>
  <c r="A2437" i="4"/>
  <c r="D2436" i="4"/>
  <c r="A2436" i="4"/>
  <c r="D2435" i="4"/>
  <c r="A2435" i="4"/>
  <c r="D2434" i="4"/>
  <c r="A2434" i="4"/>
  <c r="D2433" i="4"/>
  <c r="A2433" i="4"/>
  <c r="D2432" i="4"/>
  <c r="A2432" i="4"/>
  <c r="D2431" i="4"/>
  <c r="A2431" i="4"/>
  <c r="D2430" i="4"/>
  <c r="A2430" i="4"/>
  <c r="D2429" i="4"/>
  <c r="A2429" i="4"/>
  <c r="D2428" i="4"/>
  <c r="A2428" i="4"/>
  <c r="D2427" i="4"/>
  <c r="A2427" i="4"/>
  <c r="D2426" i="4"/>
  <c r="A2426" i="4"/>
  <c r="D2425" i="4"/>
  <c r="A2425" i="4"/>
  <c r="D2424" i="4"/>
  <c r="A2424" i="4"/>
  <c r="D2423" i="4"/>
  <c r="A2423" i="4"/>
  <c r="D2422" i="4"/>
  <c r="A2422" i="4"/>
  <c r="D2421" i="4"/>
  <c r="A2421" i="4"/>
  <c r="D2420" i="4"/>
  <c r="A2420" i="4"/>
  <c r="D2419" i="4"/>
  <c r="A2419" i="4"/>
  <c r="D2418" i="4"/>
  <c r="A2418" i="4"/>
  <c r="D2417" i="4"/>
  <c r="A2417" i="4"/>
  <c r="D2416" i="4"/>
  <c r="A2416" i="4"/>
  <c r="D2415" i="4"/>
  <c r="A2415" i="4"/>
  <c r="D2414" i="4"/>
  <c r="A2414" i="4"/>
  <c r="D2413" i="4"/>
  <c r="A2413" i="4"/>
  <c r="D2412" i="4"/>
  <c r="A2412" i="4"/>
  <c r="D2411" i="4"/>
  <c r="A2411" i="4"/>
  <c r="D2410" i="4"/>
  <c r="A2410" i="4"/>
  <c r="D2409" i="4"/>
  <c r="A2409" i="4"/>
  <c r="D2408" i="4"/>
  <c r="A2408" i="4"/>
  <c r="D2407" i="4"/>
  <c r="A2407" i="4"/>
  <c r="D2406" i="4"/>
  <c r="A2406" i="4"/>
  <c r="D2405" i="4"/>
  <c r="A2405" i="4"/>
  <c r="D2404" i="4"/>
  <c r="A2404" i="4"/>
  <c r="D2403" i="4"/>
  <c r="A2403" i="4"/>
  <c r="D2402" i="4"/>
  <c r="A2402" i="4"/>
  <c r="D2401" i="4"/>
  <c r="A2401" i="4"/>
  <c r="D2400" i="4"/>
  <c r="A2400" i="4"/>
  <c r="D2399" i="4"/>
  <c r="A2399" i="4"/>
  <c r="D2398" i="4"/>
  <c r="A2398" i="4"/>
  <c r="D2397" i="4"/>
  <c r="A2397" i="4"/>
  <c r="D2396" i="4"/>
  <c r="A2396" i="4"/>
  <c r="D2395" i="4"/>
  <c r="A2395" i="4"/>
  <c r="D2394" i="4"/>
  <c r="A2394" i="4"/>
  <c r="D2393" i="4"/>
  <c r="A2393" i="4"/>
  <c r="D2392" i="4"/>
  <c r="A2392" i="4"/>
  <c r="D2391" i="4"/>
  <c r="A2391" i="4"/>
  <c r="D2390" i="4"/>
  <c r="A2390" i="4"/>
  <c r="D2389" i="4"/>
  <c r="A2389" i="4"/>
  <c r="D2388" i="4"/>
  <c r="A2388" i="4"/>
  <c r="D2387" i="4"/>
  <c r="A2387" i="4"/>
  <c r="D2386" i="4"/>
  <c r="A2386" i="4"/>
  <c r="D2385" i="4"/>
  <c r="A2385" i="4"/>
  <c r="D2384" i="4"/>
  <c r="A2384" i="4"/>
  <c r="D2383" i="4"/>
  <c r="A2383" i="4"/>
  <c r="D2382" i="4"/>
  <c r="A2382" i="4"/>
  <c r="D2381" i="4"/>
  <c r="A2381" i="4"/>
  <c r="D2380" i="4"/>
  <c r="A2380" i="4"/>
  <c r="D2379" i="4"/>
  <c r="A2379" i="4"/>
  <c r="D2378" i="4"/>
  <c r="A2378" i="4"/>
  <c r="D2377" i="4"/>
  <c r="A2377" i="4"/>
  <c r="D2376" i="4"/>
  <c r="A2376" i="4"/>
  <c r="D2375" i="4"/>
  <c r="A2375" i="4"/>
  <c r="D2374" i="4"/>
  <c r="A2374" i="4"/>
  <c r="D2373" i="4"/>
  <c r="A2373" i="4"/>
  <c r="D2372" i="4"/>
  <c r="A2372" i="4"/>
  <c r="D2371" i="4"/>
  <c r="A2371" i="4"/>
  <c r="D2370" i="4"/>
  <c r="A2370" i="4"/>
  <c r="D2369" i="4"/>
  <c r="A2369" i="4"/>
  <c r="D2368" i="4"/>
  <c r="A2368" i="4"/>
  <c r="D2367" i="4"/>
  <c r="A2367" i="4"/>
  <c r="D2366" i="4"/>
  <c r="A2366" i="4"/>
  <c r="D2365" i="4"/>
  <c r="A2365" i="4"/>
  <c r="D2364" i="4"/>
  <c r="A2364" i="4"/>
  <c r="D2363" i="4"/>
  <c r="A2363" i="4"/>
  <c r="D2362" i="4"/>
  <c r="A2362" i="4"/>
  <c r="D2361" i="4"/>
  <c r="A2361" i="4"/>
  <c r="D2360" i="4"/>
  <c r="A2360" i="4"/>
  <c r="D2359" i="4"/>
  <c r="A2359" i="4"/>
  <c r="D2358" i="4"/>
  <c r="A2358" i="4"/>
  <c r="D2357" i="4"/>
  <c r="A2357" i="4"/>
  <c r="D2356" i="4"/>
  <c r="A2356" i="4"/>
  <c r="D2355" i="4"/>
  <c r="A2355" i="4"/>
  <c r="D2354" i="4"/>
  <c r="A2354" i="4"/>
  <c r="D2353" i="4"/>
  <c r="A2353" i="4"/>
  <c r="D2352" i="4"/>
  <c r="A2352" i="4"/>
  <c r="D2351" i="4"/>
  <c r="A2351" i="4"/>
  <c r="D2350" i="4"/>
  <c r="A2350" i="4"/>
  <c r="D2349" i="4"/>
  <c r="A2349" i="4"/>
  <c r="D2348" i="4"/>
  <c r="A2348" i="4"/>
  <c r="D2347" i="4"/>
  <c r="A2347" i="4"/>
  <c r="D2346" i="4"/>
  <c r="A2346" i="4"/>
  <c r="D2345" i="4"/>
  <c r="A2345" i="4"/>
  <c r="D2344" i="4"/>
  <c r="A2344" i="4"/>
  <c r="D2343" i="4"/>
  <c r="A2343" i="4"/>
  <c r="D2342" i="4"/>
  <c r="A2342" i="4"/>
  <c r="D2341" i="4"/>
  <c r="A2341" i="4"/>
  <c r="D2340" i="4"/>
  <c r="A2340" i="4"/>
  <c r="D2339" i="4"/>
  <c r="A2339" i="4"/>
  <c r="D2338" i="4"/>
  <c r="A2338" i="4"/>
  <c r="D2337" i="4"/>
  <c r="A2337" i="4"/>
  <c r="D2336" i="4"/>
  <c r="A2336" i="4"/>
  <c r="D2335" i="4"/>
  <c r="A2335" i="4"/>
  <c r="D2334" i="4"/>
  <c r="A2334" i="4"/>
  <c r="D2333" i="4"/>
  <c r="A2333" i="4"/>
  <c r="D2332" i="4"/>
  <c r="A2332" i="4"/>
  <c r="D2331" i="4"/>
  <c r="A2331" i="4"/>
  <c r="D2330" i="4"/>
  <c r="A2330" i="4"/>
  <c r="D2329" i="4"/>
  <c r="A2329" i="4"/>
  <c r="D2328" i="4"/>
  <c r="A2328" i="4"/>
  <c r="D2327" i="4"/>
  <c r="A2327" i="4"/>
  <c r="D2326" i="4"/>
  <c r="A2326" i="4"/>
  <c r="D2325" i="4"/>
  <c r="A2325" i="4"/>
  <c r="D2324" i="4"/>
  <c r="A2324" i="4"/>
  <c r="D2323" i="4"/>
  <c r="A2323" i="4"/>
  <c r="D2322" i="4"/>
  <c r="A2322" i="4"/>
  <c r="D2321" i="4"/>
  <c r="A2321" i="4"/>
  <c r="D2320" i="4"/>
  <c r="A2320" i="4"/>
  <c r="D2319" i="4"/>
  <c r="A2319" i="4"/>
  <c r="D2318" i="4"/>
  <c r="A2318" i="4"/>
  <c r="D2317" i="4"/>
  <c r="A2317" i="4"/>
  <c r="D2316" i="4"/>
  <c r="A2316" i="4"/>
  <c r="D2315" i="4"/>
  <c r="A2315" i="4"/>
  <c r="D2314" i="4"/>
  <c r="A2314" i="4"/>
  <c r="D2313" i="4"/>
  <c r="A2313" i="4"/>
  <c r="D2312" i="4"/>
  <c r="A2312" i="4"/>
  <c r="D2311" i="4"/>
  <c r="A2311" i="4"/>
  <c r="D2310" i="4"/>
  <c r="A2310" i="4"/>
  <c r="D2309" i="4"/>
  <c r="A2309" i="4"/>
  <c r="D2308" i="4"/>
  <c r="A2308" i="4"/>
  <c r="D2307" i="4"/>
  <c r="A2307" i="4"/>
  <c r="D2306" i="4"/>
  <c r="A2306" i="4"/>
  <c r="D2305" i="4"/>
  <c r="A2305" i="4"/>
  <c r="D2304" i="4"/>
  <c r="A2304" i="4"/>
  <c r="D2303" i="4"/>
  <c r="A2303" i="4"/>
  <c r="D2302" i="4"/>
  <c r="A2302" i="4"/>
  <c r="D2301" i="4"/>
  <c r="A2301" i="4"/>
  <c r="D2300" i="4"/>
  <c r="A2300" i="4"/>
  <c r="D2299" i="4"/>
  <c r="A2299" i="4"/>
  <c r="D2298" i="4"/>
  <c r="A2298" i="4"/>
  <c r="D2297" i="4"/>
  <c r="A2297" i="4"/>
  <c r="D2296" i="4"/>
  <c r="A2296" i="4"/>
  <c r="D2295" i="4"/>
  <c r="A2295" i="4"/>
  <c r="D2294" i="4"/>
  <c r="A2294" i="4"/>
  <c r="D2293" i="4"/>
  <c r="A2293" i="4"/>
  <c r="D2292" i="4"/>
  <c r="A2292" i="4"/>
  <c r="D2291" i="4"/>
  <c r="A2291" i="4"/>
  <c r="D2290" i="4"/>
  <c r="A2290" i="4"/>
  <c r="D2289" i="4"/>
  <c r="A2289" i="4"/>
  <c r="D2288" i="4"/>
  <c r="A2288" i="4"/>
  <c r="D2287" i="4"/>
  <c r="A2287" i="4"/>
  <c r="D2286" i="4"/>
  <c r="A2286" i="4"/>
  <c r="D2285" i="4"/>
  <c r="A2285" i="4"/>
  <c r="D2284" i="4"/>
  <c r="A2284" i="4"/>
  <c r="D2283" i="4"/>
  <c r="A2283" i="4"/>
  <c r="D2282" i="4"/>
  <c r="A2282" i="4"/>
  <c r="D2281" i="4"/>
  <c r="A2281" i="4"/>
  <c r="D2280" i="4"/>
  <c r="A2280" i="4"/>
  <c r="D2279" i="4"/>
  <c r="A2279" i="4"/>
  <c r="D2278" i="4"/>
  <c r="A2278" i="4"/>
  <c r="D2277" i="4"/>
  <c r="A2277" i="4"/>
  <c r="D2276" i="4"/>
  <c r="A2276" i="4"/>
  <c r="D2275" i="4"/>
  <c r="A2275" i="4"/>
  <c r="D2274" i="4"/>
  <c r="A2274" i="4"/>
  <c r="D2273" i="4"/>
  <c r="A2273" i="4"/>
  <c r="D2272" i="4"/>
  <c r="A2272" i="4"/>
  <c r="D2271" i="4"/>
  <c r="A2271" i="4"/>
  <c r="D2270" i="4"/>
  <c r="A2270" i="4"/>
  <c r="D2269" i="4"/>
  <c r="A2269" i="4"/>
  <c r="D2268" i="4"/>
  <c r="A2268" i="4"/>
  <c r="D2267" i="4"/>
  <c r="A2267" i="4"/>
  <c r="D2266" i="4"/>
  <c r="A2266" i="4"/>
  <c r="D2265" i="4"/>
  <c r="A2265" i="4"/>
  <c r="D2264" i="4"/>
  <c r="A2264" i="4"/>
  <c r="D2263" i="4"/>
  <c r="A2263" i="4"/>
  <c r="D2262" i="4"/>
  <c r="A2262" i="4"/>
  <c r="D2261" i="4"/>
  <c r="A2261" i="4"/>
  <c r="D2260" i="4"/>
  <c r="A2260" i="4"/>
  <c r="D2259" i="4"/>
  <c r="A2259" i="4"/>
  <c r="D2258" i="4"/>
  <c r="A2258" i="4"/>
  <c r="D2257" i="4"/>
  <c r="A2257" i="4"/>
  <c r="D2256" i="4"/>
  <c r="A2256" i="4"/>
  <c r="D2255" i="4"/>
  <c r="A2255" i="4"/>
  <c r="D2254" i="4"/>
  <c r="A2254" i="4"/>
  <c r="D2253" i="4"/>
  <c r="A2253" i="4"/>
  <c r="D2252" i="4"/>
  <c r="A2252" i="4"/>
  <c r="D2251" i="4"/>
  <c r="A2251" i="4"/>
  <c r="D2250" i="4"/>
  <c r="A2250" i="4"/>
  <c r="D2249" i="4"/>
  <c r="A2249" i="4"/>
  <c r="D2248" i="4"/>
  <c r="A2248" i="4"/>
  <c r="D2247" i="4"/>
  <c r="A2247" i="4"/>
  <c r="D2246" i="4"/>
  <c r="A2246" i="4"/>
  <c r="D2245" i="4"/>
  <c r="A2245" i="4"/>
  <c r="D2244" i="4"/>
  <c r="A2244" i="4"/>
  <c r="D2243" i="4"/>
  <c r="A2243" i="4"/>
  <c r="D2242" i="4"/>
  <c r="A2242" i="4"/>
  <c r="D2241" i="4"/>
  <c r="A2241" i="4"/>
  <c r="D2240" i="4"/>
  <c r="A2240" i="4"/>
  <c r="D2239" i="4"/>
  <c r="A2239" i="4"/>
  <c r="D2238" i="4"/>
  <c r="A2238" i="4"/>
  <c r="D2237" i="4"/>
  <c r="A2237" i="4"/>
  <c r="D2236" i="4"/>
  <c r="A2236" i="4"/>
  <c r="D2235" i="4"/>
  <c r="A2235" i="4"/>
  <c r="D2234" i="4"/>
  <c r="A2234" i="4"/>
  <c r="D2233" i="4"/>
  <c r="A2233" i="4"/>
  <c r="D2232" i="4"/>
  <c r="A2232" i="4"/>
  <c r="D2231" i="4"/>
  <c r="A2231" i="4"/>
  <c r="D2230" i="4"/>
  <c r="A2230" i="4"/>
  <c r="D2229" i="4"/>
  <c r="A2229" i="4"/>
  <c r="D2228" i="4"/>
  <c r="A2228" i="4"/>
  <c r="D2227" i="4"/>
  <c r="A2227" i="4"/>
  <c r="D2226" i="4"/>
  <c r="A2226" i="4"/>
  <c r="D2225" i="4"/>
  <c r="A2225" i="4"/>
  <c r="D2224" i="4"/>
  <c r="A2224" i="4"/>
  <c r="D2223" i="4"/>
  <c r="A2223" i="4"/>
  <c r="D2222" i="4"/>
  <c r="A2222" i="4"/>
  <c r="D2221" i="4"/>
  <c r="A2221" i="4"/>
  <c r="D2220" i="4"/>
  <c r="A2220" i="4"/>
  <c r="D2219" i="4"/>
  <c r="A2219" i="4"/>
  <c r="D2218" i="4"/>
  <c r="A2218" i="4"/>
  <c r="D2217" i="4"/>
  <c r="A2217" i="4"/>
  <c r="D2216" i="4"/>
  <c r="A2216" i="4"/>
  <c r="D2215" i="4"/>
  <c r="A2215" i="4"/>
  <c r="D2214" i="4"/>
  <c r="A2214" i="4"/>
  <c r="D2213" i="4"/>
  <c r="A2213" i="4"/>
  <c r="D2212" i="4"/>
  <c r="A2212" i="4"/>
  <c r="D2211" i="4"/>
  <c r="A2211" i="4"/>
  <c r="D2210" i="4"/>
  <c r="A2210" i="4"/>
  <c r="D2209" i="4"/>
  <c r="A2209" i="4"/>
  <c r="D2208" i="4"/>
  <c r="A2208" i="4"/>
  <c r="D2207" i="4"/>
  <c r="A2207" i="4"/>
  <c r="D2206" i="4"/>
  <c r="A2206" i="4"/>
  <c r="D2205" i="4"/>
  <c r="A2205" i="4"/>
  <c r="D2204" i="4"/>
  <c r="A2204" i="4"/>
  <c r="D2203" i="4"/>
  <c r="A2203" i="4"/>
  <c r="D2202" i="4"/>
  <c r="A2202" i="4"/>
  <c r="D2201" i="4"/>
  <c r="A2201" i="4"/>
  <c r="D2200" i="4"/>
  <c r="A2200" i="4"/>
  <c r="D2199" i="4"/>
  <c r="A2199" i="4"/>
  <c r="D2198" i="4"/>
  <c r="A2198" i="4"/>
  <c r="D2197" i="4"/>
  <c r="A2197" i="4"/>
  <c r="D2196" i="4"/>
  <c r="A2196" i="4"/>
  <c r="D2195" i="4"/>
  <c r="A2195" i="4"/>
  <c r="D2194" i="4"/>
  <c r="A2194" i="4"/>
  <c r="D2193" i="4"/>
  <c r="A2193" i="4"/>
  <c r="D2192" i="4"/>
  <c r="A2192" i="4"/>
  <c r="D2191" i="4"/>
  <c r="A2191" i="4"/>
  <c r="D2190" i="4"/>
  <c r="A2190" i="4"/>
  <c r="D2189" i="4"/>
  <c r="A2189" i="4"/>
  <c r="D2188" i="4"/>
  <c r="A2188" i="4"/>
  <c r="D2187" i="4"/>
  <c r="A2187" i="4"/>
  <c r="D2186" i="4"/>
  <c r="A2186" i="4"/>
  <c r="D2185" i="4"/>
  <c r="A2185" i="4"/>
  <c r="D2184" i="4"/>
  <c r="A2184" i="4"/>
  <c r="D2183" i="4"/>
  <c r="A2183" i="4"/>
  <c r="D2182" i="4"/>
  <c r="A2182" i="4"/>
  <c r="D2181" i="4"/>
  <c r="A2181" i="4"/>
  <c r="D2180" i="4"/>
  <c r="A2180" i="4"/>
  <c r="D2179" i="4"/>
  <c r="A2179" i="4"/>
  <c r="D2178" i="4"/>
  <c r="A2178" i="4"/>
  <c r="D2177" i="4"/>
  <c r="A2177" i="4"/>
  <c r="D2176" i="4"/>
  <c r="A2176" i="4"/>
  <c r="D2175" i="4"/>
  <c r="A2175" i="4"/>
  <c r="D2174" i="4"/>
  <c r="A2174" i="4"/>
  <c r="D2173" i="4"/>
  <c r="A2173" i="4"/>
  <c r="D2172" i="4"/>
  <c r="A2172" i="4"/>
  <c r="D2171" i="4"/>
  <c r="A2171" i="4"/>
  <c r="D2170" i="4"/>
  <c r="A2170" i="4"/>
  <c r="D2169" i="4"/>
  <c r="A2169" i="4"/>
  <c r="D2168" i="4"/>
  <c r="A2168" i="4"/>
  <c r="D2167" i="4"/>
  <c r="A2167" i="4"/>
  <c r="D2166" i="4"/>
  <c r="A2166" i="4"/>
  <c r="D2165" i="4"/>
  <c r="A2165" i="4"/>
  <c r="D2164" i="4"/>
  <c r="A2164" i="4"/>
  <c r="D2163" i="4"/>
  <c r="A2163" i="4"/>
  <c r="D2162" i="4"/>
  <c r="A2162" i="4"/>
  <c r="D2161" i="4"/>
  <c r="A2161" i="4"/>
  <c r="D2160" i="4"/>
  <c r="A2160" i="4"/>
  <c r="D2159" i="4"/>
  <c r="A2159" i="4"/>
  <c r="D2158" i="4"/>
  <c r="A2158" i="4"/>
  <c r="D2157" i="4"/>
  <c r="A2157" i="4"/>
  <c r="D2156" i="4"/>
  <c r="A2156" i="4"/>
  <c r="D2155" i="4"/>
  <c r="A2155" i="4"/>
  <c r="D2154" i="4"/>
  <c r="A2154" i="4"/>
  <c r="D2153" i="4"/>
  <c r="A2153" i="4"/>
  <c r="D2152" i="4"/>
  <c r="A2152" i="4"/>
  <c r="D2151" i="4"/>
  <c r="A2151" i="4"/>
  <c r="D2150" i="4"/>
  <c r="A2150" i="4"/>
  <c r="D2149" i="4"/>
  <c r="A2149" i="4"/>
  <c r="D2148" i="4"/>
  <c r="A2148" i="4"/>
  <c r="D2147" i="4"/>
  <c r="A2147" i="4"/>
  <c r="D2146" i="4"/>
  <c r="A2146" i="4"/>
  <c r="D2145" i="4"/>
  <c r="A2145" i="4"/>
  <c r="D2144" i="4"/>
  <c r="A2144" i="4"/>
  <c r="D2143" i="4"/>
  <c r="A2143" i="4"/>
  <c r="D2142" i="4"/>
  <c r="A2142" i="4"/>
  <c r="D2141" i="4"/>
  <c r="A2141" i="4"/>
  <c r="D2140" i="4"/>
  <c r="A2140" i="4"/>
  <c r="D2139" i="4"/>
  <c r="A2139" i="4"/>
  <c r="D2138" i="4"/>
  <c r="A2138" i="4"/>
  <c r="D2137" i="4"/>
  <c r="A2137" i="4"/>
  <c r="D2136" i="4"/>
  <c r="A2136" i="4"/>
  <c r="D2135" i="4"/>
  <c r="A2135" i="4"/>
  <c r="D2134" i="4"/>
  <c r="A2134" i="4"/>
  <c r="D2133" i="4"/>
  <c r="A2133" i="4"/>
  <c r="D2132" i="4"/>
  <c r="A2132" i="4"/>
  <c r="D2131" i="4"/>
  <c r="A2131" i="4"/>
  <c r="D2130" i="4"/>
  <c r="A2130" i="4"/>
  <c r="D2129" i="4"/>
  <c r="A2129" i="4"/>
  <c r="D2128" i="4"/>
  <c r="A2128" i="4"/>
  <c r="D2127" i="4"/>
  <c r="A2127" i="4"/>
  <c r="D2126" i="4"/>
  <c r="A2126" i="4"/>
  <c r="D2125" i="4"/>
  <c r="A2125" i="4"/>
  <c r="D2124" i="4"/>
  <c r="A2124" i="4"/>
  <c r="D2123" i="4"/>
  <c r="A2123" i="4"/>
  <c r="D2122" i="4"/>
  <c r="A2122" i="4"/>
  <c r="D2121" i="4"/>
  <c r="A2121" i="4"/>
  <c r="D2120" i="4"/>
  <c r="A2120" i="4"/>
  <c r="D2119" i="4"/>
  <c r="A2119" i="4"/>
  <c r="D2118" i="4"/>
  <c r="A2118" i="4"/>
  <c r="D2117" i="4"/>
  <c r="A2117" i="4"/>
  <c r="D2116" i="4"/>
  <c r="A2116" i="4"/>
  <c r="D2115" i="4"/>
  <c r="A2115" i="4"/>
  <c r="D2114" i="4"/>
  <c r="A2114" i="4"/>
  <c r="D2113" i="4"/>
  <c r="A2113" i="4"/>
  <c r="D2112" i="4"/>
  <c r="A2112" i="4"/>
  <c r="D2111" i="4"/>
  <c r="A2111" i="4"/>
  <c r="D2110" i="4"/>
  <c r="A2110" i="4"/>
  <c r="D2109" i="4"/>
  <c r="A2109" i="4"/>
  <c r="D2108" i="4"/>
  <c r="A2108" i="4"/>
  <c r="D2107" i="4"/>
  <c r="A2107" i="4"/>
  <c r="D2106" i="4"/>
  <c r="A2106" i="4"/>
  <c r="D2105" i="4"/>
  <c r="A2105" i="4"/>
  <c r="D2104" i="4"/>
  <c r="A2104" i="4"/>
  <c r="D2103" i="4"/>
  <c r="A2103" i="4"/>
  <c r="D2102" i="4"/>
  <c r="A2102" i="4"/>
  <c r="D2101" i="4"/>
  <c r="A2101" i="4"/>
  <c r="D2100" i="4"/>
  <c r="A2100" i="4"/>
  <c r="D2099" i="4"/>
  <c r="A2099" i="4"/>
  <c r="D2098" i="4"/>
  <c r="A2098" i="4"/>
  <c r="D2097" i="4"/>
  <c r="A2097" i="4"/>
  <c r="D2096" i="4"/>
  <c r="A2096" i="4"/>
  <c r="D2095" i="4"/>
  <c r="A2095" i="4"/>
  <c r="D2094" i="4"/>
  <c r="A2094" i="4"/>
  <c r="D2093" i="4"/>
  <c r="A2093" i="4"/>
  <c r="D2092" i="4"/>
  <c r="A2092" i="4"/>
  <c r="D2091" i="4"/>
  <c r="A2091" i="4"/>
  <c r="D2090" i="4"/>
  <c r="A2090" i="4"/>
  <c r="D2089" i="4"/>
  <c r="A2089" i="4"/>
  <c r="D2088" i="4"/>
  <c r="A2088" i="4"/>
  <c r="D2087" i="4"/>
  <c r="A2087" i="4"/>
  <c r="D2086" i="4"/>
  <c r="A2086" i="4"/>
  <c r="D2085" i="4"/>
  <c r="A2085" i="4"/>
  <c r="D2084" i="4"/>
  <c r="A2084" i="4"/>
  <c r="D2083" i="4"/>
  <c r="A2083" i="4"/>
  <c r="D2082" i="4"/>
  <c r="A2082" i="4"/>
  <c r="D2081" i="4"/>
  <c r="A2081" i="4"/>
  <c r="D2080" i="4"/>
  <c r="A2080" i="4"/>
  <c r="D2079" i="4"/>
  <c r="A2079" i="4"/>
  <c r="D2078" i="4"/>
  <c r="A2078" i="4"/>
  <c r="D2077" i="4"/>
  <c r="A2077" i="4"/>
  <c r="D2076" i="4"/>
  <c r="A2076" i="4"/>
  <c r="D2075" i="4"/>
  <c r="A2075" i="4"/>
  <c r="D2074" i="4"/>
  <c r="A2074" i="4"/>
  <c r="D2073" i="4"/>
  <c r="A2073" i="4"/>
  <c r="D2072" i="4"/>
  <c r="A2072" i="4"/>
  <c r="D2071" i="4"/>
  <c r="A2071" i="4"/>
  <c r="D2070" i="4"/>
  <c r="A2070" i="4"/>
  <c r="D2069" i="4"/>
  <c r="A2069" i="4"/>
  <c r="D2068" i="4"/>
  <c r="A2068" i="4"/>
  <c r="D2067" i="4"/>
  <c r="A2067" i="4"/>
  <c r="D2066" i="4"/>
  <c r="A2066" i="4"/>
  <c r="D2065" i="4"/>
  <c r="A2065" i="4"/>
  <c r="D2064" i="4"/>
  <c r="A2064" i="4"/>
  <c r="D2063" i="4"/>
  <c r="A2063" i="4"/>
  <c r="D2062" i="4"/>
  <c r="A2062" i="4"/>
  <c r="D2061" i="4"/>
  <c r="A2061" i="4"/>
  <c r="D2060" i="4"/>
  <c r="A2060" i="4"/>
  <c r="D2059" i="4"/>
  <c r="A2059" i="4"/>
  <c r="D2058" i="4"/>
  <c r="A2058" i="4"/>
  <c r="D2057" i="4"/>
  <c r="A2057" i="4"/>
  <c r="D2056" i="4"/>
  <c r="A2056" i="4"/>
  <c r="D2055" i="4"/>
  <c r="A2055" i="4"/>
  <c r="D2054" i="4"/>
  <c r="A2054" i="4"/>
  <c r="D2053" i="4"/>
  <c r="A2053" i="4"/>
  <c r="D2052" i="4"/>
  <c r="A2052" i="4"/>
  <c r="D2051" i="4"/>
  <c r="A2051" i="4"/>
  <c r="D2050" i="4"/>
  <c r="A2050" i="4"/>
  <c r="D2049" i="4"/>
  <c r="A2049" i="4"/>
  <c r="D2048" i="4"/>
  <c r="A2048" i="4"/>
  <c r="D2047" i="4"/>
  <c r="A2047" i="4"/>
  <c r="D2046" i="4"/>
  <c r="A2046" i="4"/>
  <c r="D2045" i="4"/>
  <c r="A2045" i="4"/>
  <c r="D2044" i="4"/>
  <c r="A2044" i="4"/>
  <c r="D2043" i="4"/>
  <c r="A2043" i="4"/>
  <c r="D2042" i="4"/>
  <c r="A2042" i="4"/>
  <c r="D2041" i="4"/>
  <c r="A2041" i="4"/>
  <c r="D2040" i="4"/>
  <c r="A2040" i="4"/>
  <c r="D2039" i="4"/>
  <c r="A2039" i="4"/>
  <c r="D2038" i="4"/>
  <c r="A2038" i="4"/>
  <c r="D2037" i="4"/>
  <c r="A2037" i="4"/>
  <c r="D2036" i="4"/>
  <c r="A2036" i="4"/>
  <c r="D2035" i="4"/>
  <c r="A2035" i="4"/>
  <c r="D2034" i="4"/>
  <c r="A2034" i="4"/>
  <c r="D2033" i="4"/>
  <c r="A2033" i="4"/>
  <c r="D2032" i="4"/>
  <c r="A2032" i="4"/>
  <c r="D2031" i="4"/>
  <c r="A2031" i="4"/>
  <c r="D2030" i="4"/>
  <c r="A2030" i="4"/>
  <c r="D2029" i="4"/>
  <c r="A2029" i="4"/>
  <c r="D2028" i="4"/>
  <c r="A2028" i="4"/>
  <c r="D2027" i="4"/>
  <c r="A2027" i="4"/>
  <c r="D2026" i="4"/>
  <c r="A2026" i="4"/>
  <c r="D2025" i="4"/>
  <c r="A2025" i="4"/>
  <c r="D2024" i="4"/>
  <c r="A2024" i="4"/>
  <c r="D2023" i="4"/>
  <c r="A2023" i="4"/>
  <c r="D2022" i="4"/>
  <c r="A2022" i="4"/>
  <c r="D2021" i="4"/>
  <c r="A2021" i="4"/>
  <c r="D2020" i="4"/>
  <c r="A2020" i="4"/>
  <c r="D2019" i="4"/>
  <c r="A2019" i="4"/>
  <c r="D2018" i="4"/>
  <c r="A2018" i="4"/>
  <c r="D2017" i="4"/>
  <c r="A2017" i="4"/>
  <c r="D2016" i="4"/>
  <c r="A2016" i="4"/>
  <c r="D2015" i="4"/>
  <c r="A2015" i="4"/>
  <c r="D2014" i="4"/>
  <c r="A2014" i="4"/>
  <c r="D2013" i="4"/>
  <c r="A2013" i="4"/>
  <c r="D2012" i="4"/>
  <c r="A2012" i="4"/>
  <c r="D2011" i="4"/>
  <c r="A2011" i="4"/>
  <c r="D2010" i="4"/>
  <c r="A2010" i="4"/>
  <c r="D2009" i="4"/>
  <c r="A2009" i="4"/>
  <c r="D2008" i="4"/>
  <c r="A2008" i="4"/>
  <c r="D2007" i="4"/>
  <c r="A2007" i="4"/>
  <c r="D2006" i="4"/>
  <c r="A2006" i="4"/>
  <c r="D2005" i="4"/>
  <c r="A2005" i="4"/>
  <c r="D2004" i="4"/>
  <c r="A2004" i="4"/>
  <c r="D2003" i="4"/>
  <c r="A2003" i="4"/>
  <c r="D2002" i="4"/>
  <c r="A2002" i="4"/>
  <c r="D2001" i="4"/>
  <c r="A2001" i="4"/>
  <c r="D2000" i="4"/>
  <c r="A2000" i="4"/>
  <c r="D1999" i="4"/>
  <c r="A1999" i="4"/>
  <c r="D1998" i="4"/>
  <c r="A1998" i="4"/>
  <c r="D1997" i="4"/>
  <c r="A1997" i="4"/>
  <c r="D1996" i="4"/>
  <c r="A1996" i="4"/>
  <c r="D1995" i="4"/>
  <c r="A1995" i="4"/>
  <c r="D1994" i="4"/>
  <c r="A1994" i="4"/>
  <c r="D1993" i="4"/>
  <c r="A1993" i="4"/>
  <c r="D1992" i="4"/>
  <c r="A1992" i="4"/>
  <c r="D1991" i="4"/>
  <c r="A1991" i="4"/>
  <c r="D1990" i="4"/>
  <c r="A1990" i="4"/>
  <c r="D1989" i="4"/>
  <c r="A1989" i="4"/>
  <c r="D1988" i="4"/>
  <c r="A1988" i="4"/>
  <c r="D1987" i="4"/>
  <c r="A1987" i="4"/>
  <c r="D1986" i="4"/>
  <c r="A1986" i="4"/>
  <c r="D1985" i="4"/>
  <c r="A1985" i="4"/>
  <c r="D1984" i="4"/>
  <c r="A1984" i="4"/>
  <c r="D1983" i="4"/>
  <c r="A1983" i="4"/>
  <c r="D1982" i="4"/>
  <c r="A1982" i="4"/>
  <c r="D1981" i="4"/>
  <c r="A1981" i="4"/>
  <c r="D1980" i="4"/>
  <c r="A1980" i="4"/>
  <c r="D1979" i="4"/>
  <c r="A1979" i="4"/>
  <c r="D1978" i="4"/>
  <c r="A1978" i="4"/>
  <c r="D1977" i="4"/>
  <c r="A1977" i="4"/>
  <c r="D1976" i="4"/>
  <c r="A1976" i="4"/>
  <c r="D1975" i="4"/>
  <c r="A1975" i="4"/>
  <c r="D1974" i="4"/>
  <c r="A1974" i="4"/>
  <c r="D1973" i="4"/>
  <c r="A1973" i="4"/>
  <c r="D1972" i="4"/>
  <c r="A1972" i="4"/>
  <c r="D1971" i="4"/>
  <c r="A1971" i="4"/>
  <c r="D1970" i="4"/>
  <c r="A1970" i="4"/>
  <c r="D1969" i="4"/>
  <c r="A1969" i="4"/>
  <c r="D1968" i="4"/>
  <c r="A1968" i="4"/>
  <c r="D1967" i="4"/>
  <c r="A1967" i="4"/>
  <c r="D1966" i="4"/>
  <c r="A1966" i="4"/>
  <c r="D1965" i="4"/>
  <c r="A1965" i="4"/>
  <c r="D1964" i="4"/>
  <c r="A1964" i="4"/>
  <c r="D1963" i="4"/>
  <c r="A1963" i="4"/>
  <c r="D1962" i="4"/>
  <c r="A1962" i="4"/>
  <c r="D1961" i="4"/>
  <c r="A1961" i="4"/>
  <c r="D1960" i="4"/>
  <c r="A1960" i="4"/>
  <c r="D1959" i="4"/>
  <c r="A1959" i="4"/>
  <c r="D1958" i="4"/>
  <c r="A1958" i="4"/>
  <c r="D1957" i="4"/>
  <c r="A1957" i="4"/>
  <c r="D1956" i="4"/>
  <c r="A1956" i="4"/>
  <c r="D1955" i="4"/>
  <c r="A1955" i="4"/>
  <c r="D1954" i="4"/>
  <c r="A1954" i="4"/>
  <c r="D1953" i="4"/>
  <c r="A1953" i="4"/>
  <c r="D1952" i="4"/>
  <c r="A1952" i="4"/>
  <c r="D1951" i="4"/>
  <c r="A1951" i="4"/>
  <c r="D1950" i="4"/>
  <c r="A1950" i="4"/>
  <c r="D1949" i="4"/>
  <c r="A1949" i="4"/>
  <c r="D1948" i="4"/>
  <c r="A1948" i="4"/>
  <c r="D1947" i="4"/>
  <c r="A1947" i="4"/>
  <c r="D1946" i="4"/>
  <c r="A1946" i="4"/>
  <c r="D1945" i="4"/>
  <c r="A1945" i="4"/>
  <c r="D1944" i="4"/>
  <c r="A1944" i="4"/>
  <c r="D1943" i="4"/>
  <c r="A1943" i="4"/>
  <c r="D1942" i="4"/>
  <c r="A1942" i="4"/>
  <c r="D1941" i="4"/>
  <c r="A1941" i="4"/>
  <c r="D1940" i="4"/>
  <c r="A1940" i="4"/>
  <c r="D1939" i="4"/>
  <c r="A1939" i="4"/>
  <c r="D1938" i="4"/>
  <c r="A1938" i="4"/>
  <c r="D1937" i="4"/>
  <c r="A1937" i="4"/>
  <c r="D1936" i="4"/>
  <c r="A1936" i="4"/>
  <c r="D1935" i="4"/>
  <c r="A1935" i="4"/>
  <c r="D1934" i="4"/>
  <c r="A1934" i="4"/>
  <c r="D1933" i="4"/>
  <c r="A1933" i="4"/>
  <c r="D1932" i="4"/>
  <c r="A1932" i="4"/>
  <c r="D1931" i="4"/>
  <c r="A1931" i="4"/>
  <c r="D1930" i="4"/>
  <c r="A1930" i="4"/>
  <c r="D1929" i="4"/>
  <c r="A1929" i="4"/>
  <c r="D1928" i="4"/>
  <c r="A1928" i="4"/>
  <c r="D1927" i="4"/>
  <c r="A1927" i="4"/>
  <c r="D1926" i="4"/>
  <c r="A1926" i="4"/>
  <c r="D1925" i="4"/>
  <c r="A1925" i="4"/>
  <c r="D1924" i="4"/>
  <c r="A1924" i="4"/>
  <c r="D1923" i="4"/>
  <c r="A1923" i="4"/>
  <c r="D1922" i="4"/>
  <c r="A1922" i="4"/>
  <c r="D1921" i="4"/>
  <c r="A1921" i="4"/>
  <c r="D1920" i="4"/>
  <c r="A1920" i="4"/>
  <c r="D1919" i="4"/>
  <c r="A1919" i="4"/>
  <c r="D1918" i="4"/>
  <c r="A1918" i="4"/>
  <c r="D1917" i="4"/>
  <c r="A1917" i="4"/>
  <c r="D1916" i="4"/>
  <c r="A1916" i="4"/>
  <c r="D1915" i="4"/>
  <c r="A1915" i="4"/>
  <c r="D1914" i="4"/>
  <c r="A1914" i="4"/>
  <c r="D1913" i="4"/>
  <c r="A1913" i="4"/>
  <c r="D1912" i="4"/>
  <c r="A1912" i="4"/>
  <c r="D1911" i="4"/>
  <c r="A1911" i="4"/>
  <c r="D1910" i="4"/>
  <c r="A1910" i="4"/>
  <c r="D1909" i="4"/>
  <c r="A1909" i="4"/>
  <c r="D1908" i="4"/>
  <c r="A1908" i="4"/>
  <c r="D1907" i="4"/>
  <c r="A1907" i="4"/>
  <c r="D1906" i="4"/>
  <c r="A1906" i="4"/>
  <c r="D1905" i="4"/>
  <c r="A1905" i="4"/>
  <c r="D1904" i="4"/>
  <c r="A1904" i="4"/>
  <c r="D1903" i="4"/>
  <c r="A1903" i="4"/>
  <c r="D1902" i="4"/>
  <c r="A1902" i="4"/>
  <c r="D1901" i="4"/>
  <c r="A1901" i="4"/>
  <c r="D1900" i="4"/>
  <c r="A1900" i="4"/>
  <c r="D1899" i="4"/>
  <c r="A1899" i="4"/>
  <c r="D1898" i="4"/>
  <c r="A1898" i="4"/>
  <c r="D1897" i="4"/>
  <c r="A1897" i="4"/>
  <c r="D1896" i="4"/>
  <c r="A1896" i="4"/>
  <c r="D1895" i="4"/>
  <c r="A1895" i="4"/>
  <c r="D1894" i="4"/>
  <c r="A1894" i="4"/>
  <c r="D1893" i="4"/>
  <c r="A1893" i="4"/>
  <c r="D1892" i="4"/>
  <c r="A1892" i="4"/>
  <c r="D1891" i="4"/>
  <c r="A1891" i="4"/>
  <c r="D1890" i="4"/>
  <c r="A1890" i="4"/>
  <c r="D1889" i="4"/>
  <c r="A1889" i="4"/>
  <c r="D1888" i="4"/>
  <c r="A1888" i="4"/>
  <c r="D1887" i="4"/>
  <c r="A1887" i="4"/>
  <c r="D1886" i="4"/>
  <c r="A1886" i="4"/>
  <c r="D1885" i="4"/>
  <c r="A1885" i="4"/>
  <c r="D1884" i="4"/>
  <c r="A1884" i="4"/>
  <c r="D1883" i="4"/>
  <c r="A1883" i="4"/>
  <c r="D1882" i="4"/>
  <c r="A1882" i="4"/>
  <c r="D1881" i="4"/>
  <c r="A1881" i="4"/>
  <c r="D1880" i="4"/>
  <c r="A1880" i="4"/>
  <c r="D1879" i="4"/>
  <c r="A1879" i="4"/>
  <c r="D1878" i="4"/>
  <c r="A1878" i="4"/>
  <c r="D1877" i="4"/>
  <c r="A1877" i="4"/>
  <c r="D1876" i="4"/>
  <c r="A1876" i="4"/>
  <c r="D1875" i="4"/>
  <c r="A1875" i="4"/>
  <c r="D1874" i="4"/>
  <c r="A1874" i="4"/>
  <c r="D1873" i="4"/>
  <c r="A1873" i="4"/>
  <c r="D1872" i="4"/>
  <c r="A1872" i="4"/>
  <c r="D1871" i="4"/>
  <c r="A1871" i="4"/>
  <c r="D1870" i="4"/>
  <c r="A1870" i="4"/>
  <c r="D1869" i="4"/>
  <c r="A1869" i="4"/>
  <c r="D1868" i="4"/>
  <c r="A1868" i="4"/>
  <c r="D1867" i="4"/>
  <c r="A1867" i="4"/>
  <c r="D1866" i="4"/>
  <c r="A1866" i="4"/>
  <c r="D1865" i="4"/>
  <c r="A1865" i="4"/>
  <c r="D1864" i="4"/>
  <c r="A1864" i="4"/>
  <c r="D1863" i="4"/>
  <c r="A1863" i="4"/>
  <c r="D1862" i="4"/>
  <c r="A1862" i="4"/>
  <c r="D1861" i="4"/>
  <c r="A1861" i="4"/>
  <c r="D1860" i="4"/>
  <c r="A1860" i="4"/>
  <c r="D1859" i="4"/>
  <c r="A1859" i="4"/>
  <c r="D1858" i="4"/>
  <c r="A1858" i="4"/>
  <c r="D1857" i="4"/>
  <c r="A1857" i="4"/>
  <c r="D1856" i="4"/>
  <c r="A1856" i="4"/>
  <c r="D1855" i="4"/>
  <c r="A1855" i="4"/>
  <c r="D1854" i="4"/>
  <c r="A1854" i="4"/>
  <c r="D1853" i="4"/>
  <c r="A1853" i="4"/>
  <c r="D1852" i="4"/>
  <c r="A1852" i="4"/>
  <c r="D1851" i="4"/>
  <c r="A1851" i="4"/>
  <c r="D1850" i="4"/>
  <c r="A1850" i="4"/>
  <c r="D1849" i="4"/>
  <c r="A1849" i="4"/>
  <c r="D1848" i="4"/>
  <c r="A1848" i="4"/>
  <c r="D1847" i="4"/>
  <c r="A1847" i="4"/>
  <c r="D1846" i="4"/>
  <c r="A1846" i="4"/>
  <c r="D1845" i="4"/>
  <c r="A1845" i="4"/>
  <c r="D1844" i="4"/>
  <c r="A1844" i="4"/>
  <c r="D1843" i="4"/>
  <c r="A1843" i="4"/>
  <c r="D1842" i="4"/>
  <c r="A1842" i="4"/>
  <c r="D1841" i="4"/>
  <c r="A1841" i="4"/>
  <c r="D1840" i="4"/>
  <c r="A1840" i="4"/>
  <c r="D1839" i="4"/>
  <c r="A1839" i="4"/>
  <c r="D1838" i="4"/>
  <c r="A1838" i="4"/>
  <c r="D1837" i="4"/>
  <c r="A1837" i="4"/>
  <c r="D1836" i="4"/>
  <c r="A1836" i="4"/>
  <c r="D1835" i="4"/>
  <c r="A1835" i="4"/>
  <c r="D1834" i="4"/>
  <c r="A1834" i="4"/>
  <c r="D1833" i="4"/>
  <c r="A1833" i="4"/>
  <c r="D1832" i="4"/>
  <c r="A1832" i="4"/>
  <c r="D1831" i="4"/>
  <c r="A1831" i="4"/>
  <c r="D1830" i="4"/>
  <c r="A1830" i="4"/>
  <c r="D1829" i="4"/>
  <c r="A1829" i="4"/>
  <c r="D1828" i="4"/>
  <c r="A1828" i="4"/>
  <c r="D1827" i="4"/>
  <c r="A1827" i="4"/>
  <c r="D1826" i="4"/>
  <c r="A1826" i="4"/>
  <c r="D1825" i="4"/>
  <c r="A1825" i="4"/>
  <c r="D1824" i="4"/>
  <c r="A1824" i="4"/>
  <c r="D1823" i="4"/>
  <c r="A1823" i="4"/>
  <c r="D1822" i="4"/>
  <c r="A1822" i="4"/>
  <c r="D1821" i="4"/>
  <c r="A1821" i="4"/>
  <c r="D1820" i="4"/>
  <c r="A1820" i="4"/>
  <c r="D1819" i="4"/>
  <c r="A1819" i="4"/>
  <c r="D1818" i="4"/>
  <c r="A1818" i="4"/>
  <c r="D1817" i="4"/>
  <c r="A1817" i="4"/>
  <c r="D1816" i="4"/>
  <c r="A1816" i="4"/>
  <c r="D1815" i="4"/>
  <c r="A1815" i="4"/>
  <c r="D1814" i="4"/>
  <c r="A1814" i="4"/>
  <c r="D1813" i="4"/>
  <c r="A1813" i="4"/>
  <c r="D1812" i="4"/>
  <c r="A1812" i="4"/>
  <c r="D1811" i="4"/>
  <c r="A1811" i="4"/>
  <c r="D1810" i="4"/>
  <c r="A1810" i="4"/>
  <c r="D1809" i="4"/>
  <c r="A1809" i="4"/>
  <c r="D1808" i="4"/>
  <c r="A1808" i="4"/>
  <c r="D1807" i="4"/>
  <c r="A1807" i="4"/>
  <c r="D1806" i="4"/>
  <c r="A1806" i="4"/>
  <c r="D1805" i="4"/>
  <c r="A1805" i="4"/>
  <c r="D1804" i="4"/>
  <c r="A1804" i="4"/>
  <c r="D1803" i="4"/>
  <c r="A1803" i="4"/>
  <c r="D1802" i="4"/>
  <c r="A1802" i="4"/>
  <c r="D1801" i="4"/>
  <c r="A1801" i="4"/>
  <c r="D1800" i="4"/>
  <c r="A1800" i="4"/>
  <c r="D1799" i="4"/>
  <c r="A1799" i="4"/>
  <c r="D1798" i="4"/>
  <c r="A1798" i="4"/>
  <c r="D1797" i="4"/>
  <c r="A1797" i="4"/>
  <c r="D1796" i="4"/>
  <c r="A1796" i="4"/>
  <c r="D1795" i="4"/>
  <c r="A1795" i="4"/>
  <c r="D1794" i="4"/>
  <c r="A1794" i="4"/>
  <c r="D1793" i="4"/>
  <c r="A1793" i="4"/>
  <c r="D1792" i="4"/>
  <c r="A1792" i="4"/>
  <c r="D1791" i="4"/>
  <c r="A1791" i="4"/>
  <c r="D1790" i="4"/>
  <c r="A1790" i="4"/>
  <c r="D1789" i="4"/>
  <c r="A1789" i="4"/>
  <c r="D1788" i="4"/>
  <c r="A1788" i="4"/>
  <c r="D1787" i="4"/>
  <c r="A1787" i="4"/>
  <c r="D1786" i="4"/>
  <c r="A1786" i="4"/>
  <c r="D1785" i="4"/>
  <c r="A1785" i="4"/>
  <c r="D1784" i="4"/>
  <c r="A1784" i="4"/>
  <c r="D1783" i="4"/>
  <c r="A1783" i="4"/>
  <c r="D1782" i="4"/>
  <c r="A1782" i="4"/>
  <c r="D1781" i="4"/>
  <c r="A1781" i="4"/>
  <c r="D1780" i="4"/>
  <c r="A1780" i="4"/>
  <c r="D1779" i="4"/>
  <c r="A1779" i="4"/>
  <c r="D1778" i="4"/>
  <c r="A1778" i="4"/>
  <c r="D1777" i="4"/>
  <c r="A1777" i="4"/>
  <c r="D1776" i="4"/>
  <c r="A1776" i="4"/>
  <c r="D1775" i="4"/>
  <c r="A1775" i="4"/>
  <c r="D1774" i="4"/>
  <c r="A1774" i="4"/>
  <c r="D1773" i="4"/>
  <c r="A1773" i="4"/>
  <c r="D1772" i="4"/>
  <c r="A1772" i="4"/>
  <c r="D1771" i="4"/>
  <c r="A1771" i="4"/>
  <c r="D1770" i="4"/>
  <c r="A1770" i="4"/>
  <c r="D1769" i="4"/>
  <c r="A1769" i="4"/>
  <c r="D1768" i="4"/>
  <c r="A1768" i="4"/>
  <c r="D1767" i="4"/>
  <c r="A1767" i="4"/>
  <c r="D1766" i="4"/>
  <c r="A1766" i="4"/>
  <c r="D1765" i="4"/>
  <c r="A1765" i="4"/>
  <c r="D1764" i="4"/>
  <c r="A1764" i="4"/>
  <c r="D1763" i="4"/>
  <c r="A1763" i="4"/>
  <c r="D1762" i="4"/>
  <c r="A1762" i="4"/>
  <c r="D1761" i="4"/>
  <c r="A1761" i="4"/>
  <c r="D1760" i="4"/>
  <c r="A1760" i="4"/>
  <c r="D1759" i="4"/>
  <c r="A1759" i="4"/>
  <c r="D1758" i="4"/>
  <c r="A1758" i="4"/>
  <c r="D1757" i="4"/>
  <c r="A1757" i="4"/>
  <c r="D1756" i="4"/>
  <c r="A1756" i="4"/>
  <c r="D1755" i="4"/>
  <c r="A1755" i="4"/>
  <c r="D1754" i="4"/>
  <c r="A1754" i="4"/>
  <c r="D1753" i="4"/>
  <c r="A1753" i="4"/>
  <c r="D1752" i="4"/>
  <c r="A1752" i="4"/>
  <c r="D1751" i="4"/>
  <c r="A1751" i="4"/>
  <c r="D1750" i="4"/>
  <c r="A1750" i="4"/>
  <c r="D1749" i="4"/>
  <c r="A1749" i="4"/>
  <c r="D1748" i="4"/>
  <c r="A1748" i="4"/>
  <c r="D1747" i="4"/>
  <c r="A1747" i="4"/>
  <c r="D1746" i="4"/>
  <c r="A1746" i="4"/>
  <c r="D1745" i="4"/>
  <c r="A1745" i="4"/>
  <c r="D1744" i="4"/>
  <c r="A1744" i="4"/>
  <c r="D1743" i="4"/>
  <c r="A1743" i="4"/>
  <c r="D1742" i="4"/>
  <c r="A1742" i="4"/>
  <c r="D1741" i="4"/>
  <c r="A1741" i="4"/>
  <c r="D1740" i="4"/>
  <c r="A1740" i="4"/>
  <c r="D1739" i="4"/>
  <c r="A1739" i="4"/>
  <c r="D1738" i="4"/>
  <c r="A1738" i="4"/>
  <c r="D1737" i="4"/>
  <c r="A1737" i="4"/>
  <c r="D1736" i="4"/>
  <c r="A1736" i="4"/>
  <c r="D1735" i="4"/>
  <c r="A1735" i="4"/>
  <c r="D1734" i="4"/>
  <c r="A1734" i="4"/>
  <c r="D1733" i="4"/>
  <c r="A1733" i="4"/>
  <c r="D1732" i="4"/>
  <c r="A1732" i="4"/>
  <c r="D1731" i="4"/>
  <c r="A1731" i="4"/>
  <c r="D1730" i="4"/>
  <c r="A1730" i="4"/>
  <c r="D1729" i="4"/>
  <c r="A1729" i="4"/>
  <c r="D1728" i="4"/>
  <c r="A1728" i="4"/>
  <c r="D1727" i="4"/>
  <c r="A1727" i="4"/>
  <c r="D1726" i="4"/>
  <c r="A1726" i="4"/>
  <c r="D1725" i="4"/>
  <c r="A1725" i="4"/>
  <c r="D1724" i="4"/>
  <c r="A1724" i="4"/>
  <c r="D1723" i="4"/>
  <c r="A1723" i="4"/>
  <c r="D1722" i="4"/>
  <c r="A1722" i="4"/>
  <c r="D1721" i="4"/>
  <c r="A1721" i="4"/>
  <c r="D1720" i="4"/>
  <c r="A1720" i="4"/>
  <c r="D1719" i="4"/>
  <c r="A1719" i="4"/>
  <c r="D1718" i="4"/>
  <c r="A1718" i="4"/>
  <c r="D1717" i="4"/>
  <c r="A1717" i="4"/>
  <c r="D1716" i="4"/>
  <c r="A1716" i="4"/>
  <c r="D1715" i="4"/>
  <c r="A1715" i="4"/>
  <c r="D1714" i="4"/>
  <c r="A1714" i="4"/>
  <c r="D1713" i="4"/>
  <c r="A1713" i="4"/>
  <c r="D1712" i="4"/>
  <c r="A1712" i="4"/>
  <c r="D1711" i="4"/>
  <c r="A1711" i="4"/>
  <c r="D1710" i="4"/>
  <c r="A1710" i="4"/>
  <c r="D1709" i="4"/>
  <c r="A1709" i="4"/>
  <c r="D1708" i="4"/>
  <c r="A1708" i="4"/>
  <c r="D1707" i="4"/>
  <c r="A1707" i="4"/>
  <c r="D1706" i="4"/>
  <c r="A1706" i="4"/>
  <c r="D1705" i="4"/>
  <c r="A1705" i="4"/>
  <c r="D1704" i="4"/>
  <c r="A1704" i="4"/>
  <c r="D1703" i="4"/>
  <c r="A1703" i="4"/>
  <c r="D1702" i="4"/>
  <c r="A1702" i="4"/>
  <c r="D1701" i="4"/>
  <c r="A1701" i="4"/>
  <c r="D1700" i="4"/>
  <c r="A1700" i="4"/>
  <c r="D1699" i="4"/>
  <c r="A1699" i="4"/>
  <c r="D1698" i="4"/>
  <c r="A1698" i="4"/>
  <c r="D1697" i="4"/>
  <c r="A1697" i="4"/>
  <c r="D1696" i="4"/>
  <c r="A1696" i="4"/>
  <c r="D1695" i="4"/>
  <c r="A1695" i="4"/>
  <c r="D1694" i="4"/>
  <c r="A1694" i="4"/>
  <c r="D1693" i="4"/>
  <c r="A1693" i="4"/>
  <c r="D1692" i="4"/>
  <c r="A1692" i="4"/>
  <c r="D1691" i="4"/>
  <c r="A1691" i="4"/>
  <c r="D1690" i="4"/>
  <c r="A1690" i="4"/>
  <c r="D1689" i="4"/>
  <c r="A1689" i="4"/>
  <c r="D1688" i="4"/>
  <c r="A1688" i="4"/>
  <c r="D1687" i="4"/>
  <c r="A1687" i="4"/>
  <c r="D1686" i="4"/>
  <c r="A1686" i="4"/>
  <c r="D1685" i="4"/>
  <c r="A1685" i="4"/>
  <c r="D1684" i="4"/>
  <c r="A1684" i="4"/>
  <c r="D1683" i="4"/>
  <c r="A1683" i="4"/>
  <c r="D1682" i="4"/>
  <c r="A1682" i="4"/>
  <c r="D1681" i="4"/>
  <c r="A1681" i="4"/>
  <c r="D1680" i="4"/>
  <c r="A1680" i="4"/>
  <c r="D1679" i="4"/>
  <c r="A1679" i="4"/>
  <c r="D1678" i="4"/>
  <c r="A1678" i="4"/>
  <c r="D1677" i="4"/>
  <c r="A1677" i="4"/>
  <c r="D1676" i="4"/>
  <c r="A1676" i="4"/>
  <c r="D1675" i="4"/>
  <c r="A1675" i="4"/>
  <c r="D1674" i="4"/>
  <c r="A1674" i="4"/>
  <c r="D1673" i="4"/>
  <c r="A1673" i="4"/>
  <c r="D1672" i="4"/>
  <c r="A1672" i="4"/>
  <c r="D1671" i="4"/>
  <c r="A1671" i="4"/>
  <c r="D1670" i="4"/>
  <c r="A1670" i="4"/>
  <c r="D1669" i="4"/>
  <c r="A1669" i="4"/>
  <c r="D1668" i="4"/>
  <c r="A1668" i="4"/>
  <c r="D1667" i="4"/>
  <c r="A1667" i="4"/>
  <c r="D1666" i="4"/>
  <c r="A1666" i="4"/>
  <c r="D1665" i="4"/>
  <c r="A1665" i="4"/>
  <c r="D1664" i="4"/>
  <c r="A1664" i="4"/>
  <c r="D1663" i="4"/>
  <c r="A1663" i="4"/>
  <c r="D1662" i="4"/>
  <c r="A1662" i="4"/>
  <c r="D1661" i="4"/>
  <c r="A1661" i="4"/>
  <c r="D1660" i="4"/>
  <c r="A1660" i="4"/>
  <c r="D1659" i="4"/>
  <c r="A1659" i="4"/>
  <c r="D1658" i="4"/>
  <c r="A1658" i="4"/>
  <c r="D1657" i="4"/>
  <c r="A1657" i="4"/>
  <c r="D1656" i="4"/>
  <c r="A1656" i="4"/>
  <c r="D1655" i="4"/>
  <c r="A1655" i="4"/>
  <c r="D1654" i="4"/>
  <c r="A1654" i="4"/>
  <c r="D1653" i="4"/>
  <c r="A1653" i="4"/>
  <c r="D1652" i="4"/>
  <c r="A1652" i="4"/>
  <c r="D1651" i="4"/>
  <c r="A1651" i="4"/>
  <c r="D1650" i="4"/>
  <c r="A1650" i="4"/>
  <c r="D1649" i="4"/>
  <c r="A1649" i="4"/>
  <c r="D1648" i="4"/>
  <c r="A1648" i="4"/>
  <c r="D1647" i="4"/>
  <c r="A1647" i="4"/>
  <c r="D1646" i="4"/>
  <c r="A1646" i="4"/>
  <c r="D1645" i="4"/>
  <c r="A1645" i="4"/>
  <c r="D1644" i="4"/>
  <c r="A1644" i="4"/>
  <c r="D1643" i="4"/>
  <c r="A1643" i="4"/>
  <c r="D1642" i="4"/>
  <c r="A1642" i="4"/>
  <c r="D1641" i="4"/>
  <c r="A1641" i="4"/>
  <c r="D1640" i="4"/>
  <c r="A1640" i="4"/>
  <c r="D1639" i="4"/>
  <c r="A1639" i="4"/>
  <c r="D1638" i="4"/>
  <c r="A1638" i="4"/>
  <c r="D1637" i="4"/>
  <c r="A1637" i="4"/>
  <c r="D1636" i="4"/>
  <c r="A1636" i="4"/>
  <c r="D1635" i="4"/>
  <c r="A1635" i="4"/>
  <c r="D1634" i="4"/>
  <c r="A1634" i="4"/>
  <c r="D1633" i="4"/>
  <c r="A1633" i="4"/>
  <c r="D1632" i="4"/>
  <c r="A1632" i="4"/>
  <c r="D1631" i="4"/>
  <c r="A1631" i="4"/>
  <c r="D1630" i="4"/>
  <c r="A1630" i="4"/>
  <c r="D1629" i="4"/>
  <c r="A1629" i="4"/>
  <c r="D1628" i="4"/>
  <c r="A1628" i="4"/>
  <c r="D1627" i="4"/>
  <c r="A1627" i="4"/>
  <c r="D1626" i="4"/>
  <c r="A1626" i="4"/>
  <c r="D1625" i="4"/>
  <c r="A1625" i="4"/>
  <c r="D1624" i="4"/>
  <c r="A1624" i="4"/>
  <c r="D1623" i="4"/>
  <c r="A1623" i="4"/>
  <c r="D1622" i="4"/>
  <c r="A1622" i="4"/>
  <c r="D1621" i="4"/>
  <c r="A1621" i="4"/>
  <c r="D1620" i="4"/>
  <c r="A1620" i="4"/>
  <c r="D1619" i="4"/>
  <c r="A1619" i="4"/>
  <c r="D1618" i="4"/>
  <c r="A1618" i="4"/>
  <c r="D1617" i="4"/>
  <c r="A1617" i="4"/>
  <c r="D1616" i="4"/>
  <c r="A1616" i="4"/>
  <c r="D1615" i="4"/>
  <c r="A1615" i="4"/>
  <c r="D1614" i="4"/>
  <c r="A1614" i="4"/>
  <c r="D1613" i="4"/>
  <c r="A1613" i="4"/>
  <c r="D1612" i="4"/>
  <c r="A1612" i="4"/>
  <c r="D1611" i="4"/>
  <c r="A1611" i="4"/>
  <c r="D1610" i="4"/>
  <c r="A1610" i="4"/>
  <c r="D1609" i="4"/>
  <c r="A1609" i="4"/>
  <c r="D1608" i="4"/>
  <c r="A1608" i="4"/>
  <c r="D1607" i="4"/>
  <c r="A1607" i="4"/>
  <c r="D1606" i="4"/>
  <c r="A1606" i="4"/>
  <c r="D1605" i="4"/>
  <c r="A1605" i="4"/>
  <c r="D1604" i="4"/>
  <c r="A1604" i="4"/>
  <c r="D1603" i="4"/>
  <c r="A1603" i="4"/>
  <c r="D1602" i="4"/>
  <c r="A1602" i="4"/>
  <c r="D1601" i="4"/>
  <c r="A1601" i="4"/>
  <c r="D1600" i="4"/>
  <c r="A1600" i="4"/>
  <c r="D1599" i="4"/>
  <c r="A1599" i="4"/>
  <c r="D1598" i="4"/>
  <c r="A1598" i="4"/>
  <c r="D1597" i="4"/>
  <c r="A1597" i="4"/>
  <c r="D1596" i="4"/>
  <c r="A1596" i="4"/>
  <c r="D1595" i="4"/>
  <c r="A1595" i="4"/>
  <c r="D1594" i="4"/>
  <c r="A1594" i="4"/>
  <c r="D1593" i="4"/>
  <c r="A1593" i="4"/>
  <c r="D1592" i="4"/>
  <c r="A1592" i="4"/>
  <c r="D1591" i="4"/>
  <c r="A1591" i="4"/>
  <c r="D1590" i="4"/>
  <c r="A1590" i="4"/>
  <c r="D1589" i="4"/>
  <c r="A1589" i="4"/>
  <c r="D1588" i="4"/>
  <c r="A1588" i="4"/>
  <c r="D1587" i="4"/>
  <c r="A1587" i="4"/>
  <c r="D1586" i="4"/>
  <c r="A1586" i="4"/>
  <c r="D1585" i="4"/>
  <c r="A1585" i="4"/>
  <c r="D1584" i="4"/>
  <c r="A1584" i="4"/>
  <c r="D1583" i="4"/>
  <c r="A1583" i="4"/>
  <c r="D1582" i="4"/>
  <c r="A1582" i="4"/>
  <c r="D1581" i="4"/>
  <c r="A1581" i="4"/>
  <c r="D1580" i="4"/>
  <c r="A1580" i="4"/>
  <c r="D1579" i="4"/>
  <c r="A1579" i="4"/>
  <c r="D1578" i="4"/>
  <c r="A1578" i="4"/>
  <c r="D1577" i="4"/>
  <c r="A1577" i="4"/>
  <c r="D1576" i="4"/>
  <c r="A1576" i="4"/>
  <c r="D1575" i="4"/>
  <c r="A1575" i="4"/>
  <c r="D1574" i="4"/>
  <c r="A1574" i="4"/>
  <c r="D1573" i="4"/>
  <c r="A1573" i="4"/>
  <c r="D1572" i="4"/>
  <c r="A1572" i="4"/>
  <c r="D1571" i="4"/>
  <c r="A1571" i="4"/>
  <c r="D1570" i="4"/>
  <c r="A1570" i="4"/>
  <c r="D1569" i="4"/>
  <c r="A1569" i="4"/>
  <c r="D1568" i="4"/>
  <c r="A1568" i="4"/>
  <c r="D1567" i="4"/>
  <c r="A1567" i="4"/>
  <c r="D1566" i="4"/>
  <c r="A1566" i="4"/>
  <c r="D1565" i="4"/>
  <c r="A1565" i="4"/>
  <c r="D1564" i="4"/>
  <c r="A1564" i="4"/>
  <c r="D1563" i="4"/>
  <c r="A1563" i="4"/>
  <c r="D1562" i="4"/>
  <c r="A1562" i="4"/>
  <c r="D1561" i="4"/>
  <c r="A1561" i="4"/>
  <c r="D1560" i="4"/>
  <c r="A1560" i="4"/>
  <c r="D1559" i="4"/>
  <c r="A1559" i="4"/>
  <c r="D1558" i="4"/>
  <c r="A1558" i="4"/>
  <c r="D1557" i="4"/>
  <c r="A1557" i="4"/>
  <c r="D1556" i="4"/>
  <c r="A1556" i="4"/>
  <c r="D1555" i="4"/>
  <c r="A1555" i="4"/>
  <c r="D1554" i="4"/>
  <c r="A1554" i="4"/>
  <c r="D1553" i="4"/>
  <c r="A1553" i="4"/>
  <c r="D1552" i="4"/>
  <c r="A1552" i="4"/>
  <c r="D1551" i="4"/>
  <c r="A1551" i="4"/>
  <c r="D1550" i="4"/>
  <c r="A1550" i="4"/>
  <c r="D1549" i="4"/>
  <c r="A1549" i="4"/>
  <c r="D1548" i="4"/>
  <c r="A1548" i="4"/>
  <c r="D1547" i="4"/>
  <c r="A1547" i="4"/>
  <c r="D1546" i="4"/>
  <c r="A1546" i="4"/>
  <c r="D1545" i="4"/>
  <c r="A1545" i="4"/>
  <c r="D1544" i="4"/>
  <c r="A1544" i="4"/>
  <c r="D1543" i="4"/>
  <c r="A1543" i="4"/>
  <c r="D1542" i="4"/>
  <c r="A1542" i="4"/>
  <c r="D1541" i="4"/>
  <c r="A1541" i="4"/>
  <c r="D1540" i="4"/>
  <c r="A1540" i="4"/>
  <c r="D1539" i="4"/>
  <c r="A1539" i="4"/>
  <c r="D1538" i="4"/>
  <c r="A1538" i="4"/>
  <c r="D1537" i="4"/>
  <c r="A1537" i="4"/>
  <c r="D1536" i="4"/>
  <c r="A1536" i="4"/>
  <c r="D1535" i="4"/>
  <c r="A1535" i="4"/>
  <c r="D1534" i="4"/>
  <c r="A1534" i="4"/>
  <c r="D1533" i="4"/>
  <c r="A1533" i="4"/>
  <c r="D1532" i="4"/>
  <c r="A1532" i="4"/>
  <c r="D1531" i="4"/>
  <c r="A1531" i="4"/>
  <c r="D1530" i="4"/>
  <c r="A1530" i="4"/>
  <c r="D1529" i="4"/>
  <c r="A1529" i="4"/>
  <c r="D1528" i="4"/>
  <c r="A1528" i="4"/>
  <c r="D1527" i="4"/>
  <c r="A1527" i="4"/>
  <c r="D1526" i="4"/>
  <c r="A1526" i="4"/>
  <c r="D1525" i="4"/>
  <c r="A1525" i="4"/>
  <c r="D1524" i="4"/>
  <c r="A1524" i="4"/>
  <c r="D1523" i="4"/>
  <c r="A1523" i="4"/>
  <c r="D1522" i="4"/>
  <c r="A1522" i="4"/>
  <c r="D1521" i="4"/>
  <c r="A1521" i="4"/>
  <c r="D1520" i="4"/>
  <c r="A1520" i="4"/>
  <c r="D1519" i="4"/>
  <c r="A1519" i="4"/>
  <c r="D1518" i="4"/>
  <c r="A1518" i="4"/>
  <c r="D1517" i="4"/>
  <c r="A1517" i="4"/>
  <c r="D1516" i="4"/>
  <c r="A1516" i="4"/>
  <c r="D1515" i="4"/>
  <c r="A1515" i="4"/>
  <c r="D1514" i="4"/>
  <c r="A1514" i="4"/>
  <c r="D1513" i="4"/>
  <c r="A1513" i="4"/>
  <c r="D1512" i="4"/>
  <c r="A1512" i="4"/>
  <c r="D1511" i="4"/>
  <c r="A1511" i="4"/>
  <c r="D1510" i="4"/>
  <c r="A1510" i="4"/>
  <c r="D1509" i="4"/>
  <c r="A1509" i="4"/>
  <c r="D1508" i="4"/>
  <c r="A1508" i="4"/>
  <c r="D1507" i="4"/>
  <c r="A1507" i="4"/>
  <c r="D1506" i="4"/>
  <c r="A1506" i="4"/>
  <c r="D1505" i="4"/>
  <c r="A1505" i="4"/>
  <c r="D1504" i="4"/>
  <c r="A1504" i="4"/>
  <c r="D1503" i="4"/>
  <c r="A1503" i="4"/>
  <c r="D1502" i="4"/>
  <c r="A1502" i="4"/>
  <c r="D1501" i="4"/>
  <c r="A1501" i="4"/>
  <c r="D1500" i="4"/>
  <c r="A1500" i="4"/>
  <c r="D1499" i="4"/>
  <c r="A1499" i="4"/>
  <c r="D1498" i="4"/>
  <c r="A1498" i="4"/>
  <c r="D1497" i="4"/>
  <c r="A1497" i="4"/>
  <c r="D1496" i="4"/>
  <c r="A1496" i="4"/>
  <c r="D1495" i="4"/>
  <c r="A1495" i="4"/>
  <c r="D1494" i="4"/>
  <c r="A1494" i="4"/>
  <c r="D1493" i="4"/>
  <c r="A1493" i="4"/>
  <c r="D1492" i="4"/>
  <c r="A1492" i="4"/>
  <c r="D1491" i="4"/>
  <c r="A1491" i="4"/>
  <c r="D1490" i="4"/>
  <c r="A1490" i="4"/>
  <c r="D1489" i="4"/>
  <c r="A1489" i="4"/>
  <c r="D1488" i="4"/>
  <c r="A1488" i="4"/>
  <c r="D1487" i="4"/>
  <c r="A1487" i="4"/>
  <c r="D1486" i="4"/>
  <c r="A1486" i="4"/>
  <c r="D1485" i="4"/>
  <c r="A1485" i="4"/>
  <c r="D1484" i="4"/>
  <c r="A1484" i="4"/>
  <c r="D1483" i="4"/>
  <c r="A1483" i="4"/>
  <c r="D1482" i="4"/>
  <c r="A1482" i="4"/>
  <c r="D1481" i="4"/>
  <c r="A1481" i="4"/>
  <c r="D1480" i="4"/>
  <c r="A1480" i="4"/>
  <c r="D1479" i="4"/>
  <c r="A1479" i="4"/>
  <c r="D1478" i="4"/>
  <c r="A1478" i="4"/>
  <c r="D1477" i="4"/>
  <c r="A1477" i="4"/>
  <c r="D1476" i="4"/>
  <c r="A1476" i="4"/>
  <c r="D1475" i="4"/>
  <c r="A1475" i="4"/>
  <c r="D1474" i="4"/>
  <c r="A1474" i="4"/>
  <c r="D1473" i="4"/>
  <c r="A1473" i="4"/>
  <c r="D1472" i="4"/>
  <c r="A1472" i="4"/>
  <c r="D1471" i="4"/>
  <c r="A1471" i="4"/>
  <c r="D1470" i="4"/>
  <c r="A1470" i="4"/>
  <c r="D1469" i="4"/>
  <c r="A1469" i="4"/>
  <c r="D1468" i="4"/>
  <c r="A1468" i="4"/>
  <c r="D1467" i="4"/>
  <c r="A1467" i="4"/>
  <c r="D1466" i="4"/>
  <c r="A1466" i="4"/>
  <c r="D1465" i="4"/>
  <c r="A1465" i="4"/>
  <c r="D1464" i="4"/>
  <c r="A1464" i="4"/>
  <c r="D1463" i="4"/>
  <c r="A1463" i="4"/>
  <c r="D1462" i="4"/>
  <c r="A1462" i="4"/>
  <c r="D1461" i="4"/>
  <c r="A1461" i="4"/>
  <c r="D1460" i="4"/>
  <c r="A1460" i="4"/>
  <c r="D1459" i="4"/>
  <c r="A1459" i="4"/>
  <c r="D1458" i="4"/>
  <c r="A1458" i="4"/>
  <c r="D1457" i="4"/>
  <c r="A1457" i="4"/>
  <c r="D1456" i="4"/>
  <c r="A1456" i="4"/>
  <c r="D1455" i="4"/>
  <c r="A1455" i="4"/>
  <c r="D1454" i="4"/>
  <c r="A1454" i="4"/>
  <c r="D1453" i="4"/>
  <c r="A1453" i="4"/>
  <c r="D1452" i="4"/>
  <c r="A1452" i="4"/>
  <c r="D1451" i="4"/>
  <c r="A1451" i="4"/>
  <c r="D1450" i="4"/>
  <c r="A1450" i="4"/>
  <c r="D1449" i="4"/>
  <c r="A1449" i="4"/>
  <c r="D1448" i="4"/>
  <c r="A1448" i="4"/>
  <c r="D1447" i="4"/>
  <c r="A1447" i="4"/>
  <c r="D1446" i="4"/>
  <c r="A1446" i="4"/>
  <c r="D1445" i="4"/>
  <c r="A1445" i="4"/>
  <c r="D1444" i="4"/>
  <c r="A1444" i="4"/>
  <c r="D1443" i="4"/>
  <c r="A1443" i="4"/>
  <c r="D1442" i="4"/>
  <c r="A1442" i="4"/>
  <c r="D1441" i="4"/>
  <c r="A1441" i="4"/>
  <c r="D1440" i="4"/>
  <c r="A1440" i="4"/>
  <c r="D1439" i="4"/>
  <c r="A1439" i="4"/>
  <c r="D1438" i="4"/>
  <c r="A1438" i="4"/>
  <c r="D1437" i="4"/>
  <c r="A1437" i="4"/>
  <c r="D1436" i="4"/>
  <c r="A1436" i="4"/>
  <c r="D1435" i="4"/>
  <c r="A1435" i="4"/>
  <c r="D1434" i="4"/>
  <c r="A1434" i="4"/>
  <c r="D1433" i="4"/>
  <c r="A1433" i="4"/>
  <c r="D1432" i="4"/>
  <c r="A1432" i="4"/>
  <c r="D1431" i="4"/>
  <c r="A1431" i="4"/>
  <c r="D1430" i="4"/>
  <c r="A1430" i="4"/>
  <c r="D1429" i="4"/>
  <c r="A1429" i="4"/>
  <c r="D1428" i="4"/>
  <c r="A1428" i="4"/>
  <c r="D1427" i="4"/>
  <c r="A1427" i="4"/>
  <c r="D1426" i="4"/>
  <c r="A1426" i="4"/>
  <c r="D1425" i="4"/>
  <c r="A1425" i="4"/>
  <c r="D1424" i="4"/>
  <c r="A1424" i="4"/>
  <c r="D1423" i="4"/>
  <c r="A1423" i="4"/>
  <c r="D1422" i="4"/>
  <c r="A1422" i="4"/>
  <c r="D1421" i="4"/>
  <c r="A1421" i="4"/>
  <c r="D1420" i="4"/>
  <c r="A1420" i="4"/>
  <c r="D1419" i="4"/>
  <c r="A1419" i="4"/>
  <c r="D1418" i="4"/>
  <c r="A1418" i="4"/>
  <c r="D1417" i="4"/>
  <c r="A1417" i="4"/>
  <c r="D1416" i="4"/>
  <c r="A1416" i="4"/>
  <c r="D1415" i="4"/>
  <c r="A1415" i="4"/>
  <c r="D1414" i="4"/>
  <c r="A1414" i="4"/>
  <c r="D1413" i="4"/>
  <c r="A1413" i="4"/>
  <c r="D1412" i="4"/>
  <c r="A1412" i="4"/>
  <c r="D1411" i="4"/>
  <c r="A1411" i="4"/>
  <c r="D1410" i="4"/>
  <c r="A1410" i="4"/>
  <c r="D1409" i="4"/>
  <c r="A1409" i="4"/>
  <c r="D1408" i="4"/>
  <c r="A1408" i="4"/>
  <c r="D1407" i="4"/>
  <c r="A1407" i="4"/>
  <c r="D1406" i="4"/>
  <c r="A1406" i="4"/>
  <c r="D1405" i="4"/>
  <c r="A1405" i="4"/>
  <c r="D1404" i="4"/>
  <c r="A1404" i="4"/>
  <c r="D1403" i="4"/>
  <c r="A1403" i="4"/>
  <c r="D1402" i="4"/>
  <c r="A1402" i="4"/>
  <c r="D1401" i="4"/>
  <c r="A1401" i="4"/>
  <c r="D1400" i="4"/>
  <c r="A1400" i="4"/>
  <c r="D1399" i="4"/>
  <c r="A1399" i="4"/>
  <c r="D1398" i="4"/>
  <c r="A1398" i="4"/>
  <c r="D1397" i="4"/>
  <c r="A1397" i="4"/>
  <c r="D1396" i="4"/>
  <c r="A1396" i="4"/>
  <c r="D1395" i="4"/>
  <c r="A1395" i="4"/>
  <c r="D1394" i="4"/>
  <c r="A1394" i="4"/>
  <c r="D1393" i="4"/>
  <c r="A1393" i="4"/>
  <c r="D1392" i="4"/>
  <c r="A1392" i="4"/>
  <c r="D1391" i="4"/>
  <c r="A1391" i="4"/>
  <c r="D1390" i="4"/>
  <c r="A1390" i="4"/>
  <c r="D1389" i="4"/>
  <c r="A1389" i="4"/>
  <c r="D1388" i="4"/>
  <c r="A1388" i="4"/>
  <c r="D1387" i="4"/>
  <c r="A1387" i="4"/>
  <c r="D1386" i="4"/>
  <c r="A1386" i="4"/>
  <c r="D1385" i="4"/>
  <c r="A1385" i="4"/>
  <c r="D1384" i="4"/>
  <c r="A1384" i="4"/>
  <c r="D1383" i="4"/>
  <c r="A1383" i="4"/>
  <c r="D1382" i="4"/>
  <c r="A1382" i="4"/>
  <c r="D1381" i="4"/>
  <c r="A1381" i="4"/>
  <c r="D1380" i="4"/>
  <c r="A1380" i="4"/>
  <c r="D1379" i="4"/>
  <c r="A1379" i="4"/>
  <c r="D1378" i="4"/>
  <c r="A1378" i="4"/>
  <c r="D1377" i="4"/>
  <c r="A1377" i="4"/>
  <c r="D1376" i="4"/>
  <c r="A1376" i="4"/>
  <c r="D1375" i="4"/>
  <c r="A1375" i="4"/>
  <c r="D1374" i="4"/>
  <c r="A1374" i="4"/>
  <c r="D1373" i="4"/>
  <c r="A1373" i="4"/>
  <c r="D1372" i="4"/>
  <c r="A1372" i="4"/>
  <c r="D1371" i="4"/>
  <c r="A1371" i="4"/>
  <c r="D1370" i="4"/>
  <c r="A1370" i="4"/>
  <c r="D1369" i="4"/>
  <c r="A1369" i="4"/>
  <c r="D1368" i="4"/>
  <c r="A1368" i="4"/>
  <c r="D1367" i="4"/>
  <c r="A1367" i="4"/>
  <c r="D1366" i="4"/>
  <c r="A1366" i="4"/>
  <c r="D1365" i="4"/>
  <c r="A1365" i="4"/>
  <c r="D1364" i="4"/>
  <c r="A1364" i="4"/>
  <c r="D1363" i="4"/>
  <c r="A1363" i="4"/>
  <c r="D1362" i="4"/>
  <c r="A1362" i="4"/>
  <c r="D1361" i="4"/>
  <c r="A1361" i="4"/>
  <c r="D1360" i="4"/>
  <c r="A1360" i="4"/>
  <c r="D1359" i="4"/>
  <c r="A1359" i="4"/>
  <c r="D1358" i="4"/>
  <c r="A1358" i="4"/>
  <c r="D1357" i="4"/>
  <c r="A1357" i="4"/>
  <c r="D1356" i="4"/>
  <c r="A1356" i="4"/>
  <c r="D1355" i="4"/>
  <c r="A1355" i="4"/>
  <c r="D1354" i="4"/>
  <c r="A1354" i="4"/>
  <c r="D1353" i="4"/>
  <c r="A1353" i="4"/>
  <c r="D1352" i="4"/>
  <c r="A1352" i="4"/>
  <c r="D1351" i="4"/>
  <c r="A1351" i="4"/>
  <c r="D1350" i="4"/>
  <c r="A1350" i="4"/>
  <c r="D1349" i="4"/>
  <c r="A1349" i="4"/>
  <c r="D1348" i="4"/>
  <c r="A1348" i="4"/>
  <c r="D1347" i="4"/>
  <c r="A1347" i="4"/>
  <c r="D1346" i="4"/>
  <c r="A1346" i="4"/>
  <c r="D1345" i="4"/>
  <c r="A1345" i="4"/>
  <c r="D1344" i="4"/>
  <c r="A1344" i="4"/>
  <c r="D1343" i="4"/>
  <c r="A1343" i="4"/>
  <c r="D1342" i="4"/>
  <c r="A1342" i="4"/>
  <c r="D1341" i="4"/>
  <c r="A1341" i="4"/>
  <c r="D1340" i="4"/>
  <c r="A1340" i="4"/>
  <c r="D1339" i="4"/>
  <c r="A1339" i="4"/>
  <c r="D1338" i="4"/>
  <c r="A1338" i="4"/>
  <c r="D1337" i="4"/>
  <c r="A1337" i="4"/>
  <c r="D1336" i="4"/>
  <c r="A1336" i="4"/>
  <c r="D1335" i="4"/>
  <c r="A1335" i="4"/>
  <c r="D1334" i="4"/>
  <c r="A1334" i="4"/>
  <c r="D1333" i="4"/>
  <c r="A1333" i="4"/>
  <c r="D1332" i="4"/>
  <c r="A1332" i="4"/>
  <c r="D1331" i="4"/>
  <c r="A1331" i="4"/>
  <c r="D1330" i="4"/>
  <c r="A1330" i="4"/>
  <c r="D1329" i="4"/>
  <c r="A1329" i="4"/>
  <c r="D1328" i="4"/>
  <c r="A1328" i="4"/>
  <c r="D1327" i="4"/>
  <c r="A1327" i="4"/>
  <c r="D1326" i="4"/>
  <c r="A1326" i="4"/>
  <c r="D1325" i="4"/>
  <c r="A1325" i="4"/>
  <c r="D1324" i="4"/>
  <c r="A1324" i="4"/>
  <c r="D1323" i="4"/>
  <c r="A1323" i="4"/>
  <c r="D1322" i="4"/>
  <c r="A1322" i="4"/>
  <c r="D1321" i="4"/>
  <c r="A1321" i="4"/>
  <c r="D1320" i="4"/>
  <c r="A1320" i="4"/>
  <c r="D1319" i="4"/>
  <c r="A1319" i="4"/>
  <c r="D1318" i="4"/>
  <c r="A1318" i="4"/>
  <c r="D1317" i="4"/>
  <c r="A1317" i="4"/>
  <c r="D1316" i="4"/>
  <c r="A1316" i="4"/>
  <c r="D1315" i="4"/>
  <c r="A1315" i="4"/>
  <c r="D1314" i="4"/>
  <c r="A1314" i="4"/>
  <c r="D1313" i="4"/>
  <c r="A1313" i="4"/>
  <c r="D1312" i="4"/>
  <c r="A1312" i="4"/>
  <c r="D1311" i="4"/>
  <c r="A1311" i="4"/>
  <c r="D1310" i="4"/>
  <c r="A1310" i="4"/>
  <c r="D1309" i="4"/>
  <c r="A1309" i="4"/>
  <c r="D1308" i="4"/>
  <c r="A1308" i="4"/>
  <c r="D1307" i="4"/>
  <c r="A1307" i="4"/>
  <c r="D1306" i="4"/>
  <c r="A1306" i="4"/>
  <c r="D1305" i="4"/>
  <c r="A1305" i="4"/>
  <c r="D1304" i="4"/>
  <c r="A1304" i="4"/>
  <c r="D1303" i="4"/>
  <c r="A1303" i="4"/>
  <c r="D1302" i="4"/>
  <c r="A1302" i="4"/>
  <c r="D1301" i="4"/>
  <c r="A1301" i="4"/>
  <c r="D1300" i="4"/>
  <c r="A1300" i="4"/>
  <c r="D1299" i="4"/>
  <c r="A1299" i="4"/>
  <c r="D1298" i="4"/>
  <c r="A1298" i="4"/>
  <c r="D1297" i="4"/>
  <c r="A1297" i="4"/>
  <c r="D1296" i="4"/>
  <c r="A1296" i="4"/>
  <c r="D1295" i="4"/>
  <c r="A1295" i="4"/>
  <c r="D1294" i="4"/>
  <c r="A1294" i="4"/>
  <c r="D1293" i="4"/>
  <c r="A1293" i="4"/>
  <c r="D1292" i="4"/>
  <c r="A1292" i="4"/>
  <c r="D1291" i="4"/>
  <c r="A1291" i="4"/>
  <c r="D1290" i="4"/>
  <c r="A1290" i="4"/>
  <c r="D1289" i="4"/>
  <c r="A1289" i="4"/>
  <c r="D1288" i="4"/>
  <c r="A1288" i="4"/>
  <c r="D1287" i="4"/>
  <c r="A1287" i="4"/>
  <c r="D1286" i="4"/>
  <c r="A1286" i="4"/>
  <c r="D1285" i="4"/>
  <c r="A1285" i="4"/>
  <c r="D1284" i="4"/>
  <c r="A1284" i="4"/>
  <c r="D1283" i="4"/>
  <c r="A1283" i="4"/>
  <c r="D1282" i="4"/>
  <c r="A1282" i="4"/>
  <c r="D1281" i="4"/>
  <c r="A1281" i="4"/>
  <c r="D1280" i="4"/>
  <c r="A1280" i="4"/>
  <c r="D1279" i="4"/>
  <c r="A1279" i="4"/>
  <c r="D1278" i="4"/>
  <c r="A1278" i="4"/>
  <c r="D1277" i="4"/>
  <c r="A1277" i="4"/>
  <c r="D1276" i="4"/>
  <c r="A1276" i="4"/>
  <c r="D1275" i="4"/>
  <c r="A1275" i="4"/>
  <c r="D1274" i="4"/>
  <c r="A1274" i="4"/>
  <c r="D1273" i="4"/>
  <c r="A1273" i="4"/>
  <c r="D1272" i="4"/>
  <c r="A1272" i="4"/>
  <c r="D1271" i="4"/>
  <c r="A1271" i="4"/>
  <c r="D1270" i="4"/>
  <c r="A1270" i="4"/>
  <c r="D1269" i="4"/>
  <c r="A1269" i="4"/>
  <c r="D1268" i="4"/>
  <c r="A1268" i="4"/>
  <c r="D1267" i="4"/>
  <c r="A1267" i="4"/>
  <c r="D1266" i="4"/>
  <c r="A1266" i="4"/>
  <c r="D1265" i="4"/>
  <c r="A1265" i="4"/>
  <c r="D1264" i="4"/>
  <c r="A1264" i="4"/>
  <c r="D1263" i="4"/>
  <c r="A1263" i="4"/>
  <c r="D1262" i="4"/>
  <c r="A1262" i="4"/>
  <c r="D1261" i="4"/>
  <c r="A1261" i="4"/>
  <c r="D1260" i="4"/>
  <c r="A1260" i="4"/>
  <c r="D1259" i="4"/>
  <c r="A1259" i="4"/>
  <c r="D1258" i="4"/>
  <c r="A1258" i="4"/>
  <c r="D1257" i="4"/>
  <c r="A1257" i="4"/>
  <c r="D1256" i="4"/>
  <c r="A1256" i="4"/>
  <c r="D1255" i="4"/>
  <c r="A1255" i="4"/>
  <c r="D1254" i="4"/>
  <c r="A1254" i="4"/>
  <c r="D1253" i="4"/>
  <c r="A1253" i="4"/>
  <c r="D1252" i="4"/>
  <c r="A1252" i="4"/>
  <c r="D1251" i="4"/>
  <c r="A1251" i="4"/>
  <c r="D1250" i="4"/>
  <c r="A1250" i="4"/>
  <c r="D1249" i="4"/>
  <c r="A1249" i="4"/>
  <c r="D1248" i="4"/>
  <c r="A1248" i="4"/>
  <c r="D1247" i="4"/>
  <c r="A1247" i="4"/>
  <c r="D1246" i="4"/>
  <c r="A1246" i="4"/>
  <c r="D1245" i="4"/>
  <c r="A1245" i="4"/>
  <c r="D1244" i="4"/>
  <c r="A1244" i="4"/>
  <c r="D1243" i="4"/>
  <c r="A1243" i="4"/>
  <c r="D1242" i="4"/>
  <c r="A1242" i="4"/>
  <c r="D1241" i="4"/>
  <c r="A1241" i="4"/>
  <c r="D1240" i="4"/>
  <c r="A1240" i="4"/>
  <c r="D1239" i="4"/>
  <c r="A1239" i="4"/>
  <c r="D1238" i="4"/>
  <c r="A1238" i="4"/>
  <c r="D1237" i="4"/>
  <c r="A1237" i="4"/>
  <c r="D1236" i="4"/>
  <c r="A1236" i="4"/>
  <c r="D1235" i="4"/>
  <c r="A1235" i="4"/>
  <c r="D1234" i="4"/>
  <c r="A1234" i="4"/>
  <c r="D1233" i="4"/>
  <c r="A1233" i="4"/>
  <c r="D1232" i="4"/>
  <c r="A1232" i="4"/>
  <c r="D1231" i="4"/>
  <c r="A1231" i="4"/>
  <c r="D1230" i="4"/>
  <c r="A1230" i="4"/>
  <c r="D1229" i="4"/>
  <c r="A1229" i="4"/>
  <c r="D1228" i="4"/>
  <c r="A1228" i="4"/>
  <c r="D1227" i="4"/>
  <c r="A1227" i="4"/>
  <c r="D1226" i="4"/>
  <c r="A1226" i="4"/>
  <c r="D1225" i="4"/>
  <c r="A1225" i="4"/>
  <c r="D1224" i="4"/>
  <c r="A1224" i="4"/>
  <c r="D1223" i="4"/>
  <c r="A1223" i="4"/>
  <c r="D1222" i="4"/>
  <c r="A1222" i="4"/>
  <c r="D1221" i="4"/>
  <c r="A1221" i="4"/>
  <c r="D1220" i="4"/>
  <c r="A1220" i="4"/>
  <c r="D1219" i="4"/>
  <c r="A1219" i="4"/>
  <c r="D1218" i="4"/>
  <c r="A1218" i="4"/>
  <c r="D1217" i="4"/>
  <c r="A1217" i="4"/>
  <c r="D1216" i="4"/>
  <c r="A1216" i="4"/>
  <c r="D1215" i="4"/>
  <c r="A1215" i="4"/>
  <c r="D1214" i="4"/>
  <c r="A1214" i="4"/>
  <c r="D1213" i="4"/>
  <c r="A1213" i="4"/>
  <c r="D1212" i="4"/>
  <c r="A1212" i="4"/>
  <c r="D1211" i="4"/>
  <c r="A1211" i="4"/>
  <c r="D1210" i="4"/>
  <c r="A1210" i="4"/>
  <c r="D1209" i="4"/>
  <c r="A1209" i="4"/>
  <c r="D1208" i="4"/>
  <c r="A1208" i="4"/>
  <c r="D1207" i="4"/>
  <c r="A1207" i="4"/>
  <c r="D1206" i="4"/>
  <c r="A1206" i="4"/>
  <c r="D1205" i="4"/>
  <c r="A1205" i="4"/>
  <c r="D1204" i="4"/>
  <c r="A1204" i="4"/>
  <c r="D1203" i="4"/>
  <c r="A1203" i="4"/>
  <c r="D1202" i="4"/>
  <c r="A1202" i="4"/>
  <c r="D1201" i="4"/>
  <c r="A1201" i="4"/>
  <c r="D1200" i="4"/>
  <c r="A1200" i="4"/>
  <c r="D1199" i="4"/>
  <c r="A1199" i="4"/>
  <c r="D1198" i="4"/>
  <c r="A1198" i="4"/>
  <c r="D1197" i="4"/>
  <c r="A1197" i="4"/>
  <c r="D1196" i="4"/>
  <c r="A1196" i="4"/>
  <c r="D1195" i="4"/>
  <c r="A1195" i="4"/>
  <c r="D1194" i="4"/>
  <c r="A1194" i="4"/>
  <c r="D1193" i="4"/>
  <c r="A1193" i="4"/>
  <c r="D1192" i="4"/>
  <c r="A1192" i="4"/>
  <c r="D1191" i="4"/>
  <c r="A1191" i="4"/>
  <c r="D1190" i="4"/>
  <c r="A1190" i="4"/>
  <c r="D1189" i="4"/>
  <c r="A1189" i="4"/>
  <c r="D1188" i="4"/>
  <c r="A1188" i="4"/>
  <c r="D1187" i="4"/>
  <c r="A1187" i="4"/>
  <c r="D1186" i="4"/>
  <c r="A1186" i="4"/>
  <c r="D1185" i="4"/>
  <c r="A1185" i="4"/>
  <c r="D1184" i="4"/>
  <c r="A1184" i="4"/>
  <c r="D1183" i="4"/>
  <c r="A1183" i="4"/>
  <c r="D1182" i="4"/>
  <c r="A1182" i="4"/>
  <c r="D1181" i="4"/>
  <c r="A1181" i="4"/>
  <c r="D1180" i="4"/>
  <c r="A1180" i="4"/>
  <c r="D1179" i="4"/>
  <c r="A1179" i="4"/>
  <c r="D1178" i="4"/>
  <c r="A1178" i="4"/>
  <c r="D1177" i="4"/>
  <c r="A1177" i="4"/>
  <c r="D1176" i="4"/>
  <c r="A1176" i="4"/>
  <c r="D1175" i="4"/>
  <c r="A1175" i="4"/>
  <c r="D1174" i="4"/>
  <c r="A1174" i="4"/>
  <c r="D1173" i="4"/>
  <c r="A1173" i="4"/>
  <c r="D1172" i="4"/>
  <c r="A1172" i="4"/>
  <c r="D1171" i="4"/>
  <c r="A1171" i="4"/>
  <c r="D1170" i="4"/>
  <c r="A1170" i="4"/>
  <c r="D1169" i="4"/>
  <c r="A1169" i="4"/>
  <c r="D1168" i="4"/>
  <c r="A1168" i="4"/>
  <c r="D1167" i="4"/>
  <c r="A1167" i="4"/>
  <c r="D1166" i="4"/>
  <c r="A1166" i="4"/>
  <c r="D1165" i="4"/>
  <c r="A1165" i="4"/>
  <c r="D1164" i="4"/>
  <c r="A1164" i="4"/>
  <c r="D1163" i="4"/>
  <c r="A1163" i="4"/>
  <c r="D1162" i="4"/>
  <c r="A1162" i="4"/>
  <c r="D1161" i="4"/>
  <c r="A1161" i="4"/>
  <c r="D1160" i="4"/>
  <c r="A1160" i="4"/>
  <c r="D1159" i="4"/>
  <c r="A1159" i="4"/>
  <c r="D1158" i="4"/>
  <c r="A1158" i="4"/>
  <c r="D1157" i="4"/>
  <c r="A1157" i="4"/>
  <c r="D1156" i="4"/>
  <c r="A1156" i="4"/>
  <c r="D1155" i="4"/>
  <c r="A1155" i="4"/>
  <c r="D1154" i="4"/>
  <c r="A1154" i="4"/>
  <c r="D1153" i="4"/>
  <c r="A1153" i="4"/>
  <c r="D1152" i="4"/>
  <c r="A1152" i="4"/>
  <c r="D1151" i="4"/>
  <c r="A1151" i="4"/>
  <c r="D1150" i="4"/>
  <c r="A1150" i="4"/>
  <c r="D1149" i="4"/>
  <c r="A1149" i="4"/>
  <c r="D1148" i="4"/>
  <c r="A1148" i="4"/>
  <c r="D1147" i="4"/>
  <c r="A1147" i="4"/>
  <c r="D1146" i="4"/>
  <c r="A1146" i="4"/>
  <c r="D1145" i="4"/>
  <c r="A1145" i="4"/>
  <c r="D1144" i="4"/>
  <c r="A1144" i="4"/>
  <c r="D1143" i="4"/>
  <c r="A1143" i="4"/>
  <c r="D1142" i="4"/>
  <c r="A1142" i="4"/>
  <c r="D1141" i="4"/>
  <c r="A1141" i="4"/>
  <c r="D1140" i="4"/>
  <c r="A1140" i="4"/>
  <c r="D1139" i="4"/>
  <c r="A1139" i="4"/>
  <c r="D1138" i="4"/>
  <c r="A1138" i="4"/>
  <c r="D1137" i="4"/>
  <c r="A1137" i="4"/>
  <c r="D1136" i="4"/>
  <c r="A1136" i="4"/>
  <c r="D1135" i="4"/>
  <c r="A1135" i="4"/>
  <c r="D1134" i="4"/>
  <c r="A1134" i="4"/>
  <c r="D1133" i="4"/>
  <c r="A1133" i="4"/>
  <c r="D1132" i="4"/>
  <c r="A1132" i="4"/>
  <c r="D1131" i="4"/>
  <c r="A1131" i="4"/>
  <c r="D1130" i="4"/>
  <c r="A1130" i="4"/>
  <c r="D1129" i="4"/>
  <c r="A1129" i="4"/>
  <c r="D1128" i="4"/>
  <c r="A1128" i="4"/>
  <c r="D1127" i="4"/>
  <c r="A1127" i="4"/>
  <c r="D1126" i="4"/>
  <c r="A1126" i="4"/>
  <c r="D1125" i="4"/>
  <c r="A1125" i="4"/>
  <c r="D1124" i="4"/>
  <c r="A1124" i="4"/>
  <c r="D1123" i="4"/>
  <c r="A1123" i="4"/>
  <c r="D1122" i="4"/>
  <c r="A1122" i="4"/>
  <c r="D1121" i="4"/>
  <c r="A1121" i="4"/>
  <c r="D1120" i="4"/>
  <c r="A1120" i="4"/>
  <c r="D1119" i="4"/>
  <c r="A1119" i="4"/>
  <c r="D1118" i="4"/>
  <c r="A1118" i="4"/>
  <c r="D1117" i="4"/>
  <c r="A1117" i="4"/>
  <c r="D1116" i="4"/>
  <c r="A1116" i="4"/>
  <c r="D1115" i="4"/>
  <c r="A1115" i="4"/>
  <c r="D1114" i="4"/>
  <c r="A1114" i="4"/>
  <c r="D1113" i="4"/>
  <c r="A1113" i="4"/>
  <c r="D1112" i="4"/>
  <c r="A1112" i="4"/>
  <c r="D1111" i="4"/>
  <c r="A1111" i="4"/>
  <c r="D1110" i="4"/>
  <c r="A1110" i="4"/>
  <c r="D1109" i="4"/>
  <c r="A1109" i="4"/>
  <c r="D1108" i="4"/>
  <c r="A1108" i="4"/>
  <c r="D1107" i="4"/>
  <c r="A1107" i="4"/>
  <c r="D1106" i="4"/>
  <c r="A1106" i="4"/>
  <c r="D1105" i="4"/>
  <c r="A1105" i="4"/>
  <c r="D1104" i="4"/>
  <c r="A1104" i="4"/>
  <c r="D1103" i="4"/>
  <c r="A1103" i="4"/>
  <c r="D1102" i="4"/>
  <c r="A1102" i="4"/>
  <c r="D1101" i="4"/>
  <c r="A1101" i="4"/>
  <c r="D1100" i="4"/>
  <c r="A1100" i="4"/>
  <c r="D1099" i="4"/>
  <c r="A1099" i="4"/>
  <c r="D1098" i="4"/>
  <c r="A1098" i="4"/>
  <c r="D1097" i="4"/>
  <c r="A1097" i="4"/>
  <c r="D1096" i="4"/>
  <c r="A1096" i="4"/>
  <c r="D1095" i="4"/>
  <c r="A1095" i="4"/>
  <c r="D1094" i="4"/>
  <c r="A1094" i="4"/>
  <c r="D1093" i="4"/>
  <c r="A1093" i="4"/>
  <c r="D1092" i="4"/>
  <c r="A1092" i="4"/>
  <c r="D1091" i="4"/>
  <c r="A1091" i="4"/>
  <c r="D1090" i="4"/>
  <c r="A1090" i="4"/>
  <c r="D1089" i="4"/>
  <c r="A1089" i="4"/>
  <c r="D1088" i="4"/>
  <c r="A1088" i="4"/>
  <c r="D1087" i="4"/>
  <c r="A1087" i="4"/>
  <c r="D1086" i="4"/>
  <c r="A1086" i="4"/>
  <c r="D1085" i="4"/>
  <c r="A1085" i="4"/>
  <c r="D1084" i="4"/>
  <c r="A1084" i="4"/>
  <c r="D1083" i="4"/>
  <c r="A1083" i="4"/>
  <c r="D1082" i="4"/>
  <c r="A1082" i="4"/>
  <c r="D1081" i="4"/>
  <c r="A1081" i="4"/>
  <c r="D1080" i="4"/>
  <c r="A1080" i="4"/>
  <c r="D1079" i="4"/>
  <c r="A1079" i="4"/>
  <c r="D1078" i="4"/>
  <c r="A1078" i="4"/>
  <c r="D1077" i="4"/>
  <c r="A1077" i="4"/>
  <c r="D1076" i="4"/>
  <c r="A1076" i="4"/>
  <c r="D1075" i="4"/>
  <c r="A1075" i="4"/>
  <c r="D1074" i="4"/>
  <c r="A1074" i="4"/>
  <c r="D1073" i="4"/>
  <c r="A1073" i="4"/>
  <c r="D1072" i="4"/>
  <c r="A1072" i="4"/>
  <c r="D1071" i="4"/>
  <c r="A1071" i="4"/>
  <c r="D1070" i="4"/>
  <c r="A1070" i="4"/>
  <c r="D1069" i="4"/>
  <c r="A1069" i="4"/>
  <c r="D1068" i="4"/>
  <c r="A1068" i="4"/>
  <c r="D1067" i="4"/>
  <c r="A1067" i="4"/>
  <c r="D1066" i="4"/>
  <c r="A1066" i="4"/>
  <c r="D1065" i="4"/>
  <c r="A1065" i="4"/>
  <c r="D1064" i="4"/>
  <c r="A1064" i="4"/>
  <c r="D1063" i="4"/>
  <c r="A1063" i="4"/>
  <c r="D1062" i="4"/>
  <c r="A1062" i="4"/>
  <c r="D1061" i="4"/>
  <c r="A1061" i="4"/>
  <c r="D1060" i="4"/>
  <c r="A1060" i="4"/>
  <c r="D1059" i="4"/>
  <c r="A1059" i="4"/>
  <c r="D1058" i="4"/>
  <c r="A1058" i="4"/>
  <c r="D1057" i="4"/>
  <c r="A1057" i="4"/>
  <c r="D1056" i="4"/>
  <c r="A1056" i="4"/>
  <c r="D1055" i="4"/>
  <c r="A1055" i="4"/>
  <c r="D1054" i="4"/>
  <c r="A1054" i="4"/>
  <c r="D1053" i="4"/>
  <c r="A1053" i="4"/>
  <c r="D1052" i="4"/>
  <c r="A1052" i="4"/>
  <c r="D1051" i="4"/>
  <c r="A1051" i="4"/>
  <c r="D1050" i="4"/>
  <c r="A1050" i="4"/>
  <c r="D1049" i="4"/>
  <c r="A1049" i="4"/>
  <c r="D1048" i="4"/>
  <c r="A1048" i="4"/>
  <c r="D1047" i="4"/>
  <c r="A1047" i="4"/>
  <c r="D1046" i="4"/>
  <c r="A1046" i="4"/>
  <c r="D1045" i="4"/>
  <c r="A1045" i="4"/>
  <c r="D1044" i="4"/>
  <c r="A1044" i="4"/>
  <c r="D1043" i="4"/>
  <c r="A1043" i="4"/>
  <c r="D1042" i="4"/>
  <c r="A1042" i="4"/>
  <c r="D1041" i="4"/>
  <c r="A1041" i="4"/>
  <c r="D1040" i="4"/>
  <c r="A1040" i="4"/>
  <c r="D1039" i="4"/>
  <c r="A1039" i="4"/>
  <c r="D1038" i="4"/>
  <c r="A1038" i="4"/>
  <c r="D1037" i="4"/>
  <c r="A1037" i="4"/>
  <c r="D1036" i="4"/>
  <c r="A1036" i="4"/>
  <c r="D1035" i="4"/>
  <c r="A1035" i="4"/>
  <c r="D1034" i="4"/>
  <c r="A1034" i="4"/>
  <c r="D1033" i="4"/>
  <c r="A1033" i="4"/>
  <c r="D1032" i="4"/>
  <c r="A1032" i="4"/>
  <c r="D1031" i="4"/>
  <c r="A1031" i="4"/>
  <c r="D1030" i="4"/>
  <c r="A1030" i="4"/>
  <c r="D1029" i="4"/>
  <c r="A1029" i="4"/>
  <c r="D1028" i="4"/>
  <c r="A1028" i="4"/>
  <c r="D1027" i="4"/>
  <c r="A1027" i="4"/>
  <c r="D1026" i="4"/>
  <c r="A1026" i="4"/>
  <c r="D1025" i="4"/>
  <c r="A1025" i="4"/>
  <c r="D1024" i="4"/>
  <c r="A1024" i="4"/>
  <c r="D1023" i="4"/>
  <c r="A1023" i="4"/>
  <c r="D1022" i="4"/>
  <c r="A1022" i="4"/>
  <c r="D1021" i="4"/>
  <c r="A1021" i="4"/>
  <c r="D1020" i="4"/>
  <c r="A1020" i="4"/>
  <c r="D1019" i="4"/>
  <c r="A1019" i="4"/>
  <c r="D1018" i="4"/>
  <c r="A1018" i="4"/>
  <c r="D1017" i="4"/>
  <c r="A1017" i="4"/>
  <c r="D1016" i="4"/>
  <c r="A1016" i="4"/>
  <c r="D1015" i="4"/>
  <c r="A1015" i="4"/>
  <c r="D1014" i="4"/>
  <c r="A1014" i="4"/>
  <c r="D1013" i="4"/>
  <c r="A1013" i="4"/>
  <c r="D1012" i="4"/>
  <c r="A1012" i="4"/>
  <c r="D1011" i="4"/>
  <c r="A1011" i="4"/>
  <c r="D1010" i="4"/>
  <c r="A1010" i="4"/>
  <c r="D1009" i="4"/>
  <c r="A1009" i="4"/>
  <c r="D1008" i="4"/>
  <c r="A1008" i="4"/>
  <c r="D1007" i="4"/>
  <c r="A1007" i="4"/>
  <c r="D1006" i="4"/>
  <c r="A1006" i="4"/>
  <c r="D1005" i="4"/>
  <c r="A1005" i="4"/>
  <c r="D1004" i="4"/>
  <c r="A1004" i="4"/>
  <c r="D1003" i="4"/>
  <c r="A1003" i="4"/>
  <c r="D1002" i="4"/>
  <c r="A1002" i="4"/>
  <c r="D1001" i="4"/>
  <c r="A1001" i="4"/>
  <c r="D1000" i="4"/>
  <c r="A1000" i="4"/>
  <c r="D999" i="4"/>
  <c r="A999" i="4"/>
  <c r="D998" i="4"/>
  <c r="A998" i="4"/>
  <c r="D997" i="4"/>
  <c r="A997" i="4"/>
  <c r="D996" i="4"/>
  <c r="A996" i="4"/>
  <c r="D995" i="4"/>
  <c r="A995" i="4"/>
  <c r="D994" i="4"/>
  <c r="A994" i="4"/>
  <c r="D993" i="4"/>
  <c r="A993" i="4"/>
  <c r="D992" i="4"/>
  <c r="A992" i="4"/>
  <c r="D991" i="4"/>
  <c r="A991" i="4"/>
  <c r="D990" i="4"/>
  <c r="A990" i="4"/>
  <c r="D989" i="4"/>
  <c r="A989" i="4"/>
  <c r="D988" i="4"/>
  <c r="A988" i="4"/>
  <c r="D987" i="4"/>
  <c r="A987" i="4"/>
  <c r="D986" i="4"/>
  <c r="A986" i="4"/>
  <c r="D985" i="4"/>
  <c r="A985" i="4"/>
  <c r="D984" i="4"/>
  <c r="A984" i="4"/>
  <c r="D983" i="4"/>
  <c r="A983" i="4"/>
  <c r="D982" i="4"/>
  <c r="A982" i="4"/>
  <c r="D981" i="4"/>
  <c r="A981" i="4"/>
  <c r="D980" i="4"/>
  <c r="A980" i="4"/>
  <c r="D979" i="4"/>
  <c r="A979" i="4"/>
  <c r="D978" i="4"/>
  <c r="A978" i="4"/>
  <c r="D977" i="4"/>
  <c r="A977" i="4"/>
  <c r="D976" i="4"/>
  <c r="A976" i="4"/>
  <c r="D975" i="4"/>
  <c r="A975" i="4"/>
  <c r="D974" i="4"/>
  <c r="A974" i="4"/>
  <c r="D973" i="4"/>
  <c r="A973" i="4"/>
  <c r="D972" i="4"/>
  <c r="A972" i="4"/>
  <c r="D971" i="4"/>
  <c r="A971" i="4"/>
  <c r="D970" i="4"/>
  <c r="A970" i="4"/>
  <c r="D969" i="4"/>
  <c r="A969" i="4"/>
  <c r="D968" i="4"/>
  <c r="A968" i="4"/>
  <c r="D967" i="4"/>
  <c r="A967" i="4"/>
  <c r="D966" i="4"/>
  <c r="A966" i="4"/>
  <c r="D965" i="4"/>
  <c r="A965" i="4"/>
  <c r="D964" i="4"/>
  <c r="A964" i="4"/>
  <c r="D963" i="4"/>
  <c r="A963" i="4"/>
  <c r="D962" i="4"/>
  <c r="A962" i="4"/>
  <c r="D961" i="4"/>
  <c r="A961" i="4"/>
  <c r="D960" i="4"/>
  <c r="A960" i="4"/>
  <c r="D959" i="4"/>
  <c r="A959" i="4"/>
  <c r="D958" i="4"/>
  <c r="A958" i="4"/>
  <c r="D957" i="4"/>
  <c r="A957" i="4"/>
  <c r="D956" i="4"/>
  <c r="A956" i="4"/>
  <c r="D955" i="4"/>
  <c r="A955" i="4"/>
  <c r="D954" i="4"/>
  <c r="A954" i="4"/>
  <c r="D953" i="4"/>
  <c r="A953" i="4"/>
  <c r="D952" i="4"/>
  <c r="A952" i="4"/>
  <c r="D951" i="4"/>
  <c r="A951" i="4"/>
  <c r="D950" i="4"/>
  <c r="A950" i="4"/>
  <c r="D949" i="4"/>
  <c r="A949" i="4"/>
  <c r="D948" i="4"/>
  <c r="A948" i="4"/>
  <c r="D947" i="4"/>
  <c r="A947" i="4"/>
  <c r="D946" i="4"/>
  <c r="A946" i="4"/>
  <c r="D945" i="4"/>
  <c r="A945" i="4"/>
  <c r="D944" i="4"/>
  <c r="A944" i="4"/>
  <c r="D943" i="4"/>
  <c r="A943" i="4"/>
  <c r="D942" i="4"/>
  <c r="A942" i="4"/>
  <c r="D941" i="4"/>
  <c r="A941" i="4"/>
  <c r="D940" i="4"/>
  <c r="A940" i="4"/>
  <c r="D939" i="4"/>
  <c r="A939" i="4"/>
  <c r="D938" i="4"/>
  <c r="A938" i="4"/>
  <c r="D937" i="4"/>
  <c r="A937" i="4"/>
  <c r="D936" i="4"/>
  <c r="A936" i="4"/>
  <c r="D935" i="4"/>
  <c r="A935" i="4"/>
  <c r="D934" i="4"/>
  <c r="A934" i="4"/>
  <c r="D933" i="4"/>
  <c r="A933" i="4"/>
  <c r="D932" i="4"/>
  <c r="A932" i="4"/>
  <c r="D931" i="4"/>
  <c r="A931" i="4"/>
  <c r="D930" i="4"/>
  <c r="A930" i="4"/>
  <c r="D929" i="4"/>
  <c r="A929" i="4"/>
  <c r="D928" i="4"/>
  <c r="A928" i="4"/>
  <c r="D927" i="4"/>
  <c r="A927" i="4"/>
  <c r="D926" i="4"/>
  <c r="A926" i="4"/>
  <c r="D925" i="4"/>
  <c r="A925" i="4"/>
  <c r="D924" i="4"/>
  <c r="A924" i="4"/>
  <c r="D923" i="4"/>
  <c r="A923" i="4"/>
  <c r="D922" i="4"/>
  <c r="A922" i="4"/>
  <c r="D921" i="4"/>
  <c r="A921" i="4"/>
  <c r="D920" i="4"/>
  <c r="A920" i="4"/>
  <c r="D919" i="4"/>
  <c r="A919" i="4"/>
  <c r="D918" i="4"/>
  <c r="A918" i="4"/>
  <c r="D917" i="4"/>
  <c r="A917" i="4"/>
  <c r="D916" i="4"/>
  <c r="A916" i="4"/>
  <c r="D915" i="4"/>
  <c r="A915" i="4"/>
  <c r="D914" i="4"/>
  <c r="A914" i="4"/>
  <c r="D913" i="4"/>
  <c r="A913" i="4"/>
  <c r="D912" i="4"/>
  <c r="A912" i="4"/>
  <c r="D911" i="4"/>
  <c r="A911" i="4"/>
  <c r="D910" i="4"/>
  <c r="A910" i="4"/>
  <c r="D909" i="4"/>
  <c r="A909" i="4"/>
  <c r="D908" i="4"/>
  <c r="A908" i="4"/>
  <c r="D907" i="4"/>
  <c r="A907" i="4"/>
  <c r="D906" i="4"/>
  <c r="A906" i="4"/>
  <c r="D905" i="4"/>
  <c r="A905" i="4"/>
  <c r="D904" i="4"/>
  <c r="A904" i="4"/>
  <c r="D903" i="4"/>
  <c r="A903" i="4"/>
  <c r="D902" i="4"/>
  <c r="A902" i="4"/>
  <c r="D901" i="4"/>
  <c r="A901" i="4"/>
  <c r="D900" i="4"/>
  <c r="A900" i="4"/>
  <c r="D899" i="4"/>
  <c r="A899" i="4"/>
  <c r="D898" i="4"/>
  <c r="A898" i="4"/>
  <c r="D897" i="4"/>
  <c r="A897" i="4"/>
  <c r="D896" i="4"/>
  <c r="A896" i="4"/>
  <c r="D895" i="4"/>
  <c r="A895" i="4"/>
  <c r="D894" i="4"/>
  <c r="A894" i="4"/>
  <c r="D893" i="4"/>
  <c r="A893" i="4"/>
  <c r="D892" i="4"/>
  <c r="A892" i="4"/>
  <c r="D891" i="4"/>
  <c r="A891" i="4"/>
  <c r="D890" i="4"/>
  <c r="A890" i="4"/>
  <c r="D889" i="4"/>
  <c r="A889" i="4"/>
  <c r="D888" i="4"/>
  <c r="A888" i="4"/>
  <c r="D887" i="4"/>
  <c r="A887" i="4"/>
  <c r="D886" i="4"/>
  <c r="A886" i="4"/>
  <c r="D885" i="4"/>
  <c r="A885" i="4"/>
  <c r="D884" i="4"/>
  <c r="A884" i="4"/>
  <c r="D883" i="4"/>
  <c r="A883" i="4"/>
  <c r="D882" i="4"/>
  <c r="A882" i="4"/>
  <c r="D881" i="4"/>
  <c r="A881" i="4"/>
  <c r="D880" i="4"/>
  <c r="A880" i="4"/>
  <c r="D879" i="4"/>
  <c r="A879" i="4"/>
  <c r="D878" i="4"/>
  <c r="A878" i="4"/>
  <c r="D877" i="4"/>
  <c r="A877" i="4"/>
  <c r="D876" i="4"/>
  <c r="A876" i="4"/>
  <c r="D875" i="4"/>
  <c r="A875" i="4"/>
  <c r="D874" i="4"/>
  <c r="A874" i="4"/>
  <c r="D873" i="4"/>
  <c r="A873" i="4"/>
  <c r="D872" i="4"/>
  <c r="A872" i="4"/>
  <c r="D871" i="4"/>
  <c r="A871" i="4"/>
  <c r="D870" i="4"/>
  <c r="A870" i="4"/>
  <c r="D869" i="4"/>
  <c r="A869" i="4"/>
  <c r="D868" i="4"/>
  <c r="A868" i="4"/>
  <c r="D867" i="4"/>
  <c r="A867" i="4"/>
  <c r="D866" i="4"/>
  <c r="A866" i="4"/>
  <c r="D865" i="4"/>
  <c r="A865" i="4"/>
  <c r="D864" i="4"/>
  <c r="A864" i="4"/>
  <c r="D863" i="4"/>
  <c r="A863" i="4"/>
  <c r="D862" i="4"/>
  <c r="A862" i="4"/>
  <c r="D861" i="4"/>
  <c r="A861" i="4"/>
  <c r="D860" i="4"/>
  <c r="A860" i="4"/>
  <c r="D859" i="4"/>
  <c r="A859" i="4"/>
  <c r="D858" i="4"/>
  <c r="A858" i="4"/>
  <c r="D857" i="4"/>
  <c r="A857" i="4"/>
  <c r="D856" i="4"/>
  <c r="A856" i="4"/>
  <c r="D855" i="4"/>
  <c r="A855" i="4"/>
  <c r="D854" i="4"/>
  <c r="A854" i="4"/>
  <c r="D853" i="4"/>
  <c r="A853" i="4"/>
  <c r="D852" i="4"/>
  <c r="A852" i="4"/>
  <c r="D851" i="4"/>
  <c r="A851" i="4"/>
  <c r="D850" i="4"/>
  <c r="A850" i="4"/>
  <c r="D849" i="4"/>
  <c r="A849" i="4"/>
  <c r="D848" i="4"/>
  <c r="A848" i="4"/>
  <c r="D847" i="4"/>
  <c r="A847" i="4"/>
  <c r="D846" i="4"/>
  <c r="A846" i="4"/>
  <c r="D845" i="4"/>
  <c r="A845" i="4"/>
  <c r="D844" i="4"/>
  <c r="A844" i="4"/>
  <c r="D843" i="4"/>
  <c r="A843" i="4"/>
  <c r="D842" i="4"/>
  <c r="A842" i="4"/>
  <c r="D841" i="4"/>
  <c r="A841" i="4"/>
  <c r="D840" i="4"/>
  <c r="A840" i="4"/>
  <c r="D839" i="4"/>
  <c r="A839" i="4"/>
  <c r="D838" i="4"/>
  <c r="A838" i="4"/>
  <c r="D837" i="4"/>
  <c r="A837" i="4"/>
  <c r="D836" i="4"/>
  <c r="A836" i="4"/>
  <c r="D835" i="4"/>
  <c r="A835" i="4"/>
  <c r="D834" i="4"/>
  <c r="A834" i="4"/>
  <c r="D833" i="4"/>
  <c r="A833" i="4"/>
  <c r="D832" i="4"/>
  <c r="A832" i="4"/>
  <c r="D831" i="4"/>
  <c r="A831" i="4"/>
  <c r="D830" i="4"/>
  <c r="A830" i="4"/>
  <c r="D829" i="4"/>
  <c r="A829" i="4"/>
  <c r="D828" i="4"/>
  <c r="A828" i="4"/>
  <c r="D827" i="4"/>
  <c r="A827" i="4"/>
  <c r="D826" i="4"/>
  <c r="A826" i="4"/>
  <c r="D825" i="4"/>
  <c r="A825" i="4"/>
  <c r="D824" i="4"/>
  <c r="A824" i="4"/>
  <c r="D823" i="4"/>
  <c r="A823" i="4"/>
  <c r="D822" i="4"/>
  <c r="A822" i="4"/>
  <c r="D821" i="4"/>
  <c r="A821" i="4"/>
  <c r="D820" i="4"/>
  <c r="A820" i="4"/>
  <c r="D819" i="4"/>
  <c r="A819" i="4"/>
  <c r="D818" i="4"/>
  <c r="A818" i="4"/>
  <c r="D817" i="4"/>
  <c r="A817" i="4"/>
  <c r="D816" i="4"/>
  <c r="A816" i="4"/>
  <c r="D815" i="4"/>
  <c r="A815" i="4"/>
  <c r="D814" i="4"/>
  <c r="A814" i="4"/>
  <c r="D813" i="4"/>
  <c r="A813" i="4"/>
  <c r="D812" i="4"/>
  <c r="A812" i="4"/>
  <c r="D811" i="4"/>
  <c r="A811" i="4"/>
  <c r="D810" i="4"/>
  <c r="A810" i="4"/>
  <c r="D809" i="4"/>
  <c r="A809" i="4"/>
  <c r="D808" i="4"/>
  <c r="A808" i="4"/>
  <c r="D807" i="4"/>
  <c r="A807" i="4"/>
  <c r="D806" i="4"/>
  <c r="A806" i="4"/>
  <c r="D805" i="4"/>
  <c r="A805" i="4"/>
  <c r="D804" i="4"/>
  <c r="A804" i="4"/>
  <c r="D803" i="4"/>
  <c r="A803" i="4"/>
  <c r="D802" i="4"/>
  <c r="A802" i="4"/>
  <c r="D801" i="4"/>
  <c r="A801" i="4"/>
  <c r="D800" i="4"/>
  <c r="A800" i="4"/>
  <c r="D799" i="4"/>
  <c r="A799" i="4"/>
  <c r="D798" i="4"/>
  <c r="A798" i="4"/>
  <c r="D797" i="4"/>
  <c r="A797" i="4"/>
  <c r="D796" i="4"/>
  <c r="A796" i="4"/>
  <c r="D795" i="4"/>
  <c r="A795" i="4"/>
  <c r="D794" i="4"/>
  <c r="A794" i="4"/>
  <c r="D793" i="4"/>
  <c r="A793" i="4"/>
  <c r="D792" i="4"/>
  <c r="A792" i="4"/>
  <c r="D791" i="4"/>
  <c r="A791" i="4"/>
  <c r="D790" i="4"/>
  <c r="A790" i="4"/>
  <c r="D789" i="4"/>
  <c r="A789" i="4"/>
  <c r="D788" i="4"/>
  <c r="A788" i="4"/>
  <c r="D787" i="4"/>
  <c r="A787" i="4"/>
  <c r="D786" i="4"/>
  <c r="A786" i="4"/>
  <c r="D785" i="4"/>
  <c r="A785" i="4"/>
  <c r="D784" i="4"/>
  <c r="A784" i="4"/>
  <c r="D783" i="4"/>
  <c r="A783" i="4"/>
  <c r="D782" i="4"/>
  <c r="A782" i="4"/>
  <c r="D781" i="4"/>
  <c r="A781" i="4"/>
  <c r="D780" i="4"/>
  <c r="A780" i="4"/>
  <c r="D779" i="4"/>
  <c r="A779" i="4"/>
  <c r="D778" i="4"/>
  <c r="A778" i="4"/>
  <c r="D777" i="4"/>
  <c r="A777" i="4"/>
  <c r="D776" i="4"/>
  <c r="A776" i="4"/>
  <c r="D775" i="4"/>
  <c r="A775" i="4"/>
  <c r="D774" i="4"/>
  <c r="A774" i="4"/>
  <c r="D773" i="4"/>
  <c r="A773" i="4"/>
  <c r="D772" i="4"/>
  <c r="A772" i="4"/>
  <c r="D771" i="4"/>
  <c r="A771" i="4"/>
  <c r="D770" i="4"/>
  <c r="A770" i="4"/>
  <c r="D769" i="4"/>
  <c r="A769" i="4"/>
  <c r="D768" i="4"/>
  <c r="A768" i="4"/>
  <c r="D767" i="4"/>
  <c r="A767" i="4"/>
  <c r="D766" i="4"/>
  <c r="A766" i="4"/>
  <c r="D765" i="4"/>
  <c r="A765" i="4"/>
  <c r="D764" i="4"/>
  <c r="A764" i="4"/>
  <c r="D763" i="4"/>
  <c r="A763" i="4"/>
  <c r="D762" i="4"/>
  <c r="A762" i="4"/>
  <c r="D761" i="4"/>
  <c r="A761" i="4"/>
  <c r="D760" i="4"/>
  <c r="A760" i="4"/>
  <c r="D759" i="4"/>
  <c r="A759" i="4"/>
  <c r="D758" i="4"/>
  <c r="A758" i="4"/>
  <c r="D757" i="4"/>
  <c r="A757" i="4"/>
  <c r="D756" i="4"/>
  <c r="A756" i="4"/>
  <c r="D755" i="4"/>
  <c r="A755" i="4"/>
  <c r="D754" i="4"/>
  <c r="A754" i="4"/>
  <c r="D753" i="4"/>
  <c r="A753" i="4"/>
  <c r="D752" i="4"/>
  <c r="A752" i="4"/>
  <c r="D751" i="4"/>
  <c r="A751" i="4"/>
  <c r="D750" i="4"/>
  <c r="A750" i="4"/>
  <c r="D749" i="4"/>
  <c r="A749" i="4"/>
  <c r="D748" i="4"/>
  <c r="A748" i="4"/>
  <c r="D747" i="4"/>
  <c r="A747" i="4"/>
  <c r="D746" i="4"/>
  <c r="A746" i="4"/>
  <c r="D745" i="4"/>
  <c r="A745" i="4"/>
  <c r="D744" i="4"/>
  <c r="A744" i="4"/>
  <c r="D743" i="4"/>
  <c r="A743" i="4"/>
  <c r="D742" i="4"/>
  <c r="A742" i="4"/>
  <c r="D741" i="4"/>
  <c r="A741" i="4"/>
  <c r="D740" i="4"/>
  <c r="A740" i="4"/>
  <c r="D739" i="4"/>
  <c r="A739" i="4"/>
  <c r="D738" i="4"/>
  <c r="A738" i="4"/>
  <c r="D737" i="4"/>
  <c r="A737" i="4"/>
  <c r="D736" i="4"/>
  <c r="A736" i="4"/>
  <c r="D735" i="4"/>
  <c r="A735" i="4"/>
  <c r="D734" i="4"/>
  <c r="A734" i="4"/>
  <c r="D733" i="4"/>
  <c r="A733" i="4"/>
  <c r="D732" i="4"/>
  <c r="A732" i="4"/>
  <c r="D731" i="4"/>
  <c r="A731" i="4"/>
  <c r="D730" i="4"/>
  <c r="A730" i="4"/>
  <c r="D729" i="4"/>
  <c r="A729" i="4"/>
  <c r="D728" i="4"/>
  <c r="A728" i="4"/>
  <c r="D727" i="4"/>
  <c r="A727" i="4"/>
  <c r="D726" i="4"/>
  <c r="A726" i="4"/>
  <c r="D725" i="4"/>
  <c r="A725" i="4"/>
  <c r="D724" i="4"/>
  <c r="A724" i="4"/>
  <c r="D723" i="4"/>
  <c r="A723" i="4"/>
  <c r="D722" i="4"/>
  <c r="A722" i="4"/>
  <c r="D721" i="4"/>
  <c r="A721" i="4"/>
  <c r="D720" i="4"/>
  <c r="A720" i="4"/>
  <c r="D719" i="4"/>
  <c r="A719" i="4"/>
  <c r="D718" i="4"/>
  <c r="A718" i="4"/>
  <c r="D717" i="4"/>
  <c r="A717" i="4"/>
  <c r="D716" i="4"/>
  <c r="A716" i="4"/>
  <c r="D715" i="4"/>
  <c r="A715" i="4"/>
  <c r="D714" i="4"/>
  <c r="A714" i="4"/>
  <c r="D713" i="4"/>
  <c r="A713" i="4"/>
  <c r="D712" i="4"/>
  <c r="A712" i="4"/>
  <c r="D711" i="4"/>
  <c r="A711" i="4"/>
  <c r="D710" i="4"/>
  <c r="A710" i="4"/>
  <c r="D709" i="4"/>
  <c r="A709" i="4"/>
  <c r="D708" i="4"/>
  <c r="A708" i="4"/>
  <c r="D707" i="4"/>
  <c r="A707" i="4"/>
  <c r="D706" i="4"/>
  <c r="A706" i="4"/>
  <c r="D705" i="4"/>
  <c r="A705" i="4"/>
  <c r="D704" i="4"/>
  <c r="A704" i="4"/>
  <c r="D703" i="4"/>
  <c r="A703" i="4"/>
  <c r="D702" i="4"/>
  <c r="A702" i="4"/>
  <c r="D701" i="4"/>
  <c r="A701" i="4"/>
  <c r="D700" i="4"/>
  <c r="A700" i="4"/>
  <c r="D699" i="4"/>
  <c r="A699" i="4"/>
  <c r="D698" i="4"/>
  <c r="A698" i="4"/>
  <c r="D697" i="4"/>
  <c r="A697" i="4"/>
  <c r="D696" i="4"/>
  <c r="A696" i="4"/>
  <c r="D695" i="4"/>
  <c r="A695" i="4"/>
  <c r="D694" i="4"/>
  <c r="A694" i="4"/>
  <c r="D693" i="4"/>
  <c r="A693" i="4"/>
  <c r="D692" i="4"/>
  <c r="A692" i="4"/>
  <c r="D691" i="4"/>
  <c r="A691" i="4"/>
  <c r="D690" i="4"/>
  <c r="A690" i="4"/>
  <c r="D689" i="4"/>
  <c r="A689" i="4"/>
  <c r="D688" i="4"/>
  <c r="A688" i="4"/>
  <c r="D687" i="4"/>
  <c r="A687" i="4"/>
  <c r="D686" i="4"/>
  <c r="A686" i="4"/>
  <c r="D685" i="4"/>
  <c r="A685" i="4"/>
  <c r="D684" i="4"/>
  <c r="A684" i="4"/>
  <c r="D683" i="4"/>
  <c r="A683" i="4"/>
  <c r="D682" i="4"/>
  <c r="A682" i="4"/>
  <c r="D681" i="4"/>
  <c r="A681" i="4"/>
  <c r="D680" i="4"/>
  <c r="A680" i="4"/>
  <c r="D679" i="4"/>
  <c r="A679" i="4"/>
  <c r="D678" i="4"/>
  <c r="A678" i="4"/>
  <c r="D677" i="4"/>
  <c r="A677" i="4"/>
  <c r="D676" i="4"/>
  <c r="A676" i="4"/>
  <c r="D675" i="4"/>
  <c r="A675" i="4"/>
  <c r="D674" i="4"/>
  <c r="A674" i="4"/>
  <c r="D673" i="4"/>
  <c r="A673" i="4"/>
  <c r="D672" i="4"/>
  <c r="A672" i="4"/>
  <c r="D671" i="4"/>
  <c r="A671" i="4"/>
  <c r="D670" i="4"/>
  <c r="A670" i="4"/>
  <c r="D669" i="4"/>
  <c r="A669" i="4"/>
  <c r="D668" i="4"/>
  <c r="A668" i="4"/>
  <c r="D667" i="4"/>
  <c r="A667" i="4"/>
  <c r="D666" i="4"/>
  <c r="A666" i="4"/>
  <c r="D665" i="4"/>
  <c r="A665" i="4"/>
  <c r="D664" i="4"/>
  <c r="A664" i="4"/>
  <c r="D663" i="4"/>
  <c r="A663" i="4"/>
  <c r="D662" i="4"/>
  <c r="A662" i="4"/>
  <c r="D661" i="4"/>
  <c r="A661" i="4"/>
  <c r="D660" i="4"/>
  <c r="A660" i="4"/>
  <c r="D659" i="4"/>
  <c r="A659" i="4"/>
  <c r="D658" i="4"/>
  <c r="A658" i="4"/>
  <c r="D657" i="4"/>
  <c r="A657" i="4"/>
  <c r="D656" i="4"/>
  <c r="A656" i="4"/>
  <c r="D655" i="4"/>
  <c r="A655" i="4"/>
  <c r="D654" i="4"/>
  <c r="A654" i="4"/>
  <c r="D653" i="4"/>
  <c r="A653" i="4"/>
  <c r="D652" i="4"/>
  <c r="A652" i="4"/>
  <c r="D651" i="4"/>
  <c r="A651" i="4"/>
  <c r="D650" i="4"/>
  <c r="A650" i="4"/>
  <c r="D649" i="4"/>
  <c r="A649" i="4"/>
  <c r="D648" i="4"/>
  <c r="A648" i="4"/>
  <c r="D647" i="4"/>
  <c r="A647" i="4"/>
  <c r="D646" i="4"/>
  <c r="A646" i="4"/>
  <c r="D645" i="4"/>
  <c r="A645" i="4"/>
  <c r="D644" i="4"/>
  <c r="A644" i="4"/>
  <c r="D643" i="4"/>
  <c r="A643" i="4"/>
  <c r="D642" i="4"/>
  <c r="A642" i="4"/>
  <c r="D641" i="4"/>
  <c r="A641" i="4"/>
  <c r="D640" i="4"/>
  <c r="A640" i="4"/>
  <c r="D639" i="4"/>
  <c r="A639" i="4"/>
  <c r="D638" i="4"/>
  <c r="A638" i="4"/>
  <c r="D637" i="4"/>
  <c r="A637" i="4"/>
  <c r="D636" i="4"/>
  <c r="A636" i="4"/>
  <c r="D635" i="4"/>
  <c r="A635" i="4"/>
  <c r="D634" i="4"/>
  <c r="A634" i="4"/>
  <c r="D633" i="4"/>
  <c r="A633" i="4"/>
  <c r="D632" i="4"/>
  <c r="A632" i="4"/>
  <c r="D631" i="4"/>
  <c r="A631" i="4"/>
  <c r="D630" i="4"/>
  <c r="A630" i="4"/>
  <c r="D629" i="4"/>
  <c r="A629" i="4"/>
  <c r="D628" i="4"/>
  <c r="A628" i="4"/>
  <c r="D627" i="4"/>
  <c r="A627" i="4"/>
  <c r="D626" i="4"/>
  <c r="A626" i="4"/>
  <c r="D625" i="4"/>
  <c r="A625" i="4"/>
  <c r="D624" i="4"/>
  <c r="A624" i="4"/>
  <c r="D623" i="4"/>
  <c r="A623" i="4"/>
  <c r="D622" i="4"/>
  <c r="A622" i="4"/>
  <c r="D621" i="4"/>
  <c r="A621" i="4"/>
  <c r="D620" i="4"/>
  <c r="A620" i="4"/>
  <c r="D619" i="4"/>
  <c r="A619" i="4"/>
  <c r="D618" i="4"/>
  <c r="A618" i="4"/>
  <c r="D617" i="4"/>
  <c r="A617" i="4"/>
  <c r="D616" i="4"/>
  <c r="A616" i="4"/>
  <c r="D615" i="4"/>
  <c r="A615" i="4"/>
  <c r="D614" i="4"/>
  <c r="A614" i="4"/>
  <c r="D613" i="4"/>
  <c r="A613" i="4"/>
  <c r="D612" i="4"/>
  <c r="A612" i="4"/>
  <c r="D611" i="4"/>
  <c r="A611" i="4"/>
  <c r="D610" i="4"/>
  <c r="A610" i="4"/>
  <c r="D609" i="4"/>
  <c r="A609" i="4"/>
  <c r="D608" i="4"/>
  <c r="A608" i="4"/>
  <c r="D607" i="4"/>
  <c r="A607" i="4"/>
  <c r="D606" i="4"/>
  <c r="A606" i="4"/>
  <c r="D605" i="4"/>
  <c r="A605" i="4"/>
  <c r="D604" i="4"/>
  <c r="A604" i="4"/>
  <c r="D603" i="4"/>
  <c r="A603" i="4"/>
  <c r="D602" i="4"/>
  <c r="A602" i="4"/>
  <c r="D601" i="4"/>
  <c r="A601" i="4"/>
  <c r="D600" i="4"/>
  <c r="A600" i="4"/>
  <c r="D599" i="4"/>
  <c r="A599" i="4"/>
  <c r="D598" i="4"/>
  <c r="A598" i="4"/>
  <c r="D597" i="4"/>
  <c r="A597" i="4"/>
  <c r="D596" i="4"/>
  <c r="A596" i="4"/>
  <c r="D595" i="4"/>
  <c r="A595" i="4"/>
  <c r="D594" i="4"/>
  <c r="A594" i="4"/>
  <c r="D593" i="4"/>
  <c r="A593" i="4"/>
  <c r="D592" i="4"/>
  <c r="A592" i="4"/>
  <c r="D591" i="4"/>
  <c r="A591" i="4"/>
  <c r="D590" i="4"/>
  <c r="A590" i="4"/>
  <c r="D589" i="4"/>
  <c r="A589" i="4"/>
  <c r="D588" i="4"/>
  <c r="A588" i="4"/>
  <c r="D587" i="4"/>
  <c r="A587" i="4"/>
  <c r="D586" i="4"/>
  <c r="A586" i="4"/>
  <c r="D585" i="4"/>
  <c r="A585" i="4"/>
  <c r="D584" i="4"/>
  <c r="A584" i="4"/>
  <c r="D583" i="4"/>
  <c r="A583" i="4"/>
  <c r="D582" i="4"/>
  <c r="A582" i="4"/>
  <c r="D581" i="4"/>
  <c r="A581" i="4"/>
  <c r="D580" i="4"/>
  <c r="A580" i="4"/>
  <c r="D579" i="4"/>
  <c r="A579" i="4"/>
  <c r="D578" i="4"/>
  <c r="A578" i="4"/>
  <c r="D577" i="4"/>
  <c r="A577" i="4"/>
  <c r="D576" i="4"/>
  <c r="A576" i="4"/>
  <c r="D575" i="4"/>
  <c r="A575" i="4"/>
  <c r="D574" i="4"/>
  <c r="A574" i="4"/>
  <c r="D573" i="4"/>
  <c r="A573" i="4"/>
  <c r="D572" i="4"/>
  <c r="A572" i="4"/>
  <c r="D571" i="4"/>
  <c r="A571" i="4"/>
  <c r="D570" i="4"/>
  <c r="A570" i="4"/>
  <c r="D569" i="4"/>
  <c r="A569" i="4"/>
  <c r="D568" i="4"/>
  <c r="A568" i="4"/>
  <c r="D567" i="4"/>
  <c r="A567" i="4"/>
  <c r="D566" i="4"/>
  <c r="A566" i="4"/>
  <c r="D565" i="4"/>
  <c r="A565" i="4"/>
  <c r="D564" i="4"/>
  <c r="A564" i="4"/>
  <c r="D563" i="4"/>
  <c r="A563" i="4"/>
  <c r="D562" i="4"/>
  <c r="A562" i="4"/>
  <c r="D561" i="4"/>
  <c r="A561" i="4"/>
  <c r="D560" i="4"/>
  <c r="A560" i="4"/>
  <c r="D559" i="4"/>
  <c r="A559" i="4"/>
  <c r="D558" i="4"/>
  <c r="A558" i="4"/>
  <c r="D557" i="4"/>
  <c r="A557" i="4"/>
  <c r="D556" i="4"/>
  <c r="A556" i="4"/>
  <c r="D555" i="4"/>
  <c r="A555" i="4"/>
  <c r="D554" i="4"/>
  <c r="A554" i="4"/>
  <c r="D553" i="4"/>
  <c r="A553" i="4"/>
  <c r="D552" i="4"/>
  <c r="A552" i="4"/>
  <c r="D551" i="4"/>
  <c r="A551" i="4"/>
  <c r="D550" i="4"/>
  <c r="A550" i="4"/>
  <c r="D549" i="4"/>
  <c r="A549" i="4"/>
  <c r="D548" i="4"/>
  <c r="A548" i="4"/>
  <c r="D547" i="4"/>
  <c r="A547" i="4"/>
  <c r="D546" i="4"/>
  <c r="A546" i="4"/>
  <c r="D545" i="4"/>
  <c r="A545" i="4"/>
  <c r="D544" i="4"/>
  <c r="A544" i="4"/>
  <c r="D543" i="4"/>
  <c r="A543" i="4"/>
  <c r="D542" i="4"/>
  <c r="A542" i="4"/>
  <c r="D541" i="4"/>
  <c r="A541" i="4"/>
  <c r="D540" i="4"/>
  <c r="A540" i="4"/>
  <c r="D539" i="4"/>
  <c r="A539" i="4"/>
  <c r="D538" i="4"/>
  <c r="A538" i="4"/>
  <c r="D537" i="4"/>
  <c r="A537" i="4"/>
  <c r="D536" i="4"/>
  <c r="A536" i="4"/>
  <c r="D535" i="4"/>
  <c r="A535" i="4"/>
  <c r="D534" i="4"/>
  <c r="A534" i="4"/>
  <c r="D533" i="4"/>
  <c r="A533" i="4"/>
  <c r="D532" i="4"/>
  <c r="A532" i="4"/>
  <c r="D531" i="4"/>
  <c r="A531" i="4"/>
  <c r="D530" i="4"/>
  <c r="A530" i="4"/>
  <c r="D529" i="4"/>
  <c r="A529" i="4"/>
  <c r="D528" i="4"/>
  <c r="A528" i="4"/>
  <c r="D527" i="4"/>
  <c r="A527" i="4"/>
  <c r="D526" i="4"/>
  <c r="A526" i="4"/>
  <c r="D525" i="4"/>
  <c r="A525" i="4"/>
  <c r="D524" i="4"/>
  <c r="A524" i="4"/>
  <c r="D523" i="4"/>
  <c r="A523" i="4"/>
  <c r="D522" i="4"/>
  <c r="A522" i="4"/>
  <c r="D521" i="4"/>
  <c r="A521" i="4"/>
  <c r="D520" i="4"/>
  <c r="A520" i="4"/>
  <c r="D519" i="4"/>
  <c r="A519" i="4"/>
  <c r="D518" i="4"/>
  <c r="A518" i="4"/>
  <c r="D517" i="4"/>
  <c r="A517" i="4"/>
  <c r="D516" i="4"/>
  <c r="A516" i="4"/>
  <c r="D515" i="4"/>
  <c r="A515" i="4"/>
  <c r="D514" i="4"/>
  <c r="A514" i="4"/>
  <c r="D513" i="4"/>
  <c r="A513" i="4"/>
  <c r="D512" i="4"/>
  <c r="A512" i="4"/>
  <c r="D511" i="4"/>
  <c r="A511" i="4"/>
  <c r="D510" i="4"/>
  <c r="A510" i="4"/>
  <c r="D509" i="4"/>
  <c r="A509" i="4"/>
  <c r="D508" i="4"/>
  <c r="A508" i="4"/>
  <c r="D507" i="4"/>
  <c r="A507" i="4"/>
  <c r="D506" i="4"/>
  <c r="A506" i="4"/>
  <c r="D505" i="4"/>
  <c r="A505" i="4"/>
  <c r="D504" i="4"/>
  <c r="A504" i="4"/>
  <c r="D503" i="4"/>
  <c r="A503" i="4"/>
  <c r="D502" i="4"/>
  <c r="A502" i="4"/>
  <c r="D501" i="4"/>
  <c r="A501" i="4"/>
  <c r="D500" i="4"/>
  <c r="A500" i="4"/>
  <c r="D499" i="4"/>
  <c r="A499" i="4"/>
  <c r="D498" i="4"/>
  <c r="A498" i="4"/>
  <c r="D497" i="4"/>
  <c r="A497" i="4"/>
  <c r="D496" i="4"/>
  <c r="A496" i="4"/>
  <c r="D495" i="4"/>
  <c r="A495" i="4"/>
  <c r="D494" i="4"/>
  <c r="A494" i="4"/>
  <c r="D493" i="4"/>
  <c r="A493" i="4"/>
  <c r="D492" i="4"/>
  <c r="A492" i="4"/>
  <c r="D491" i="4"/>
  <c r="A491" i="4"/>
  <c r="D490" i="4"/>
  <c r="A490" i="4"/>
  <c r="D489" i="4"/>
  <c r="A489" i="4"/>
  <c r="D488" i="4"/>
  <c r="A488" i="4"/>
  <c r="D487" i="4"/>
  <c r="A487" i="4"/>
  <c r="D486" i="4"/>
  <c r="A486" i="4"/>
  <c r="D485" i="4"/>
  <c r="A485" i="4"/>
  <c r="D484" i="4"/>
  <c r="A484" i="4"/>
  <c r="D483" i="4"/>
  <c r="A483" i="4"/>
  <c r="D482" i="4"/>
  <c r="A482" i="4"/>
  <c r="D481" i="4"/>
  <c r="A481" i="4"/>
  <c r="D480" i="4"/>
  <c r="A480" i="4"/>
  <c r="D479" i="4"/>
  <c r="A479" i="4"/>
  <c r="D478" i="4"/>
  <c r="A478" i="4"/>
  <c r="D477" i="4"/>
  <c r="A477" i="4"/>
  <c r="D476" i="4"/>
  <c r="A476" i="4"/>
  <c r="D475" i="4"/>
  <c r="A475" i="4"/>
  <c r="D474" i="4"/>
  <c r="A474" i="4"/>
  <c r="D473" i="4"/>
  <c r="A473" i="4"/>
  <c r="D472" i="4"/>
  <c r="A472" i="4"/>
  <c r="D471" i="4"/>
  <c r="A471" i="4"/>
  <c r="D470" i="4"/>
  <c r="A470" i="4"/>
  <c r="D469" i="4"/>
  <c r="A469" i="4"/>
  <c r="D468" i="4"/>
  <c r="A468" i="4"/>
  <c r="D467" i="4"/>
  <c r="A467" i="4"/>
  <c r="D466" i="4"/>
  <c r="A466" i="4"/>
  <c r="D465" i="4"/>
  <c r="A465" i="4"/>
  <c r="D464" i="4"/>
  <c r="A464" i="4"/>
  <c r="D463" i="4"/>
  <c r="A463" i="4"/>
  <c r="D462" i="4"/>
  <c r="A462" i="4"/>
  <c r="D461" i="4"/>
  <c r="A461" i="4"/>
  <c r="D460" i="4"/>
  <c r="A460" i="4"/>
  <c r="D459" i="4"/>
  <c r="A459" i="4"/>
  <c r="D458" i="4"/>
  <c r="A458" i="4"/>
  <c r="D457" i="4"/>
  <c r="A457" i="4"/>
  <c r="D456" i="4"/>
  <c r="A456" i="4"/>
  <c r="D455" i="4"/>
  <c r="A455" i="4"/>
  <c r="D454" i="4"/>
  <c r="A454" i="4"/>
  <c r="D453" i="4"/>
  <c r="A453" i="4"/>
  <c r="D452" i="4"/>
  <c r="A452" i="4"/>
  <c r="D451" i="4"/>
  <c r="A451" i="4"/>
  <c r="D450" i="4"/>
  <c r="A450" i="4"/>
  <c r="D449" i="4"/>
  <c r="A449" i="4"/>
  <c r="D448" i="4"/>
  <c r="A448" i="4"/>
  <c r="D447" i="4"/>
  <c r="A447" i="4"/>
  <c r="D446" i="4"/>
  <c r="A446" i="4"/>
  <c r="D445" i="4"/>
  <c r="A445" i="4"/>
  <c r="D444" i="4"/>
  <c r="A444" i="4"/>
  <c r="D443" i="4"/>
  <c r="A443" i="4"/>
  <c r="D442" i="4"/>
  <c r="A442" i="4"/>
  <c r="D441" i="4"/>
  <c r="A441" i="4"/>
  <c r="D440" i="4"/>
  <c r="A440" i="4"/>
  <c r="D439" i="4"/>
  <c r="A439" i="4"/>
  <c r="D438" i="4"/>
  <c r="A438" i="4"/>
  <c r="D437" i="4"/>
  <c r="A437" i="4"/>
  <c r="D436" i="4"/>
  <c r="A436" i="4"/>
  <c r="D435" i="4"/>
  <c r="A435" i="4"/>
  <c r="D434" i="4"/>
  <c r="A434" i="4"/>
  <c r="D433" i="4"/>
  <c r="A433" i="4"/>
  <c r="D432" i="4"/>
  <c r="A432" i="4"/>
  <c r="D431" i="4"/>
  <c r="A431" i="4"/>
  <c r="D430" i="4"/>
  <c r="A430" i="4"/>
  <c r="D429" i="4"/>
  <c r="A429" i="4"/>
  <c r="D428" i="4"/>
  <c r="A428" i="4"/>
  <c r="D427" i="4"/>
  <c r="A427" i="4"/>
  <c r="D426" i="4"/>
  <c r="A426" i="4"/>
  <c r="D425" i="4"/>
  <c r="A425" i="4"/>
  <c r="D424" i="4"/>
  <c r="A424" i="4"/>
  <c r="D423" i="4"/>
  <c r="A423" i="4"/>
  <c r="D422" i="4"/>
  <c r="A422" i="4"/>
  <c r="D421" i="4"/>
  <c r="A421" i="4"/>
  <c r="D420" i="4"/>
  <c r="A420" i="4"/>
  <c r="D419" i="4"/>
  <c r="A419" i="4"/>
  <c r="D418" i="4"/>
  <c r="A418" i="4"/>
  <c r="D417" i="4"/>
  <c r="A417" i="4"/>
  <c r="D416" i="4"/>
  <c r="A416" i="4"/>
  <c r="D415" i="4"/>
  <c r="A415" i="4"/>
  <c r="D414" i="4"/>
  <c r="A414" i="4"/>
  <c r="D413" i="4"/>
  <c r="A413" i="4"/>
  <c r="D412" i="4"/>
  <c r="A412" i="4"/>
  <c r="D411" i="4"/>
  <c r="A411" i="4"/>
  <c r="D410" i="4"/>
  <c r="A410" i="4"/>
  <c r="D409" i="4"/>
  <c r="A409" i="4"/>
  <c r="D408" i="4"/>
  <c r="A408" i="4"/>
  <c r="D407" i="4"/>
  <c r="A407" i="4"/>
  <c r="D406" i="4"/>
  <c r="A406" i="4"/>
  <c r="D405" i="4"/>
  <c r="A405" i="4"/>
  <c r="D404" i="4"/>
  <c r="A404" i="4"/>
  <c r="D403" i="4"/>
  <c r="A403" i="4"/>
  <c r="D402" i="4"/>
  <c r="A402" i="4"/>
  <c r="D401" i="4"/>
  <c r="A401" i="4"/>
  <c r="D400" i="4"/>
  <c r="A400" i="4"/>
  <c r="D399" i="4"/>
  <c r="A399" i="4"/>
  <c r="D398" i="4"/>
  <c r="A398" i="4"/>
  <c r="D397" i="4"/>
  <c r="A397" i="4"/>
  <c r="D396" i="4"/>
  <c r="A396" i="4"/>
  <c r="D395" i="4"/>
  <c r="A395" i="4"/>
  <c r="D394" i="4"/>
  <c r="A394" i="4"/>
  <c r="D393" i="4"/>
  <c r="A393" i="4"/>
  <c r="D392" i="4"/>
  <c r="A392" i="4"/>
  <c r="D391" i="4"/>
  <c r="A391" i="4"/>
  <c r="D390" i="4"/>
  <c r="A390" i="4"/>
  <c r="D389" i="4"/>
  <c r="A389" i="4"/>
  <c r="D388" i="4"/>
  <c r="A388" i="4"/>
  <c r="D387" i="4"/>
  <c r="A387" i="4"/>
  <c r="D386" i="4"/>
  <c r="A386" i="4"/>
  <c r="D385" i="4"/>
  <c r="A385" i="4"/>
  <c r="D384" i="4"/>
  <c r="A384" i="4"/>
  <c r="D383" i="4"/>
  <c r="A383" i="4"/>
  <c r="D382" i="4"/>
  <c r="A382" i="4"/>
  <c r="D381" i="4"/>
  <c r="A381" i="4"/>
  <c r="D380" i="4"/>
  <c r="A380" i="4"/>
  <c r="D379" i="4"/>
  <c r="A379" i="4"/>
  <c r="D378" i="4"/>
  <c r="A378" i="4"/>
  <c r="D377" i="4"/>
  <c r="A377" i="4"/>
  <c r="D376" i="4"/>
  <c r="A376" i="4"/>
  <c r="D375" i="4"/>
  <c r="A375" i="4"/>
  <c r="D374" i="4"/>
  <c r="A374" i="4"/>
  <c r="D373" i="4"/>
  <c r="A373" i="4"/>
  <c r="D372" i="4"/>
  <c r="A372" i="4"/>
  <c r="D371" i="4"/>
  <c r="A371" i="4"/>
  <c r="D370" i="4"/>
  <c r="A370" i="4"/>
  <c r="D369" i="4"/>
  <c r="A369" i="4"/>
  <c r="D368" i="4"/>
  <c r="A368" i="4"/>
  <c r="D367" i="4"/>
  <c r="A367" i="4"/>
  <c r="D366" i="4"/>
  <c r="A366" i="4"/>
  <c r="D365" i="4"/>
  <c r="A365" i="4"/>
  <c r="D364" i="4"/>
  <c r="A364" i="4"/>
  <c r="D363" i="4"/>
  <c r="A363" i="4"/>
  <c r="D362" i="4"/>
  <c r="A362" i="4"/>
  <c r="D361" i="4"/>
  <c r="A361" i="4"/>
  <c r="D360" i="4"/>
  <c r="A360" i="4"/>
  <c r="D359" i="4"/>
  <c r="A359" i="4"/>
  <c r="D358" i="4"/>
  <c r="A358" i="4"/>
  <c r="D357" i="4"/>
  <c r="A357" i="4"/>
  <c r="D356" i="4"/>
  <c r="A356" i="4"/>
  <c r="D355" i="4"/>
  <c r="A355" i="4"/>
  <c r="D354" i="4"/>
  <c r="A354" i="4"/>
  <c r="D353" i="4"/>
  <c r="A353" i="4"/>
  <c r="D352" i="4"/>
  <c r="A352" i="4"/>
  <c r="D351" i="4"/>
  <c r="A351" i="4"/>
  <c r="D350" i="4"/>
  <c r="A350" i="4"/>
  <c r="D349" i="4"/>
  <c r="A349" i="4"/>
  <c r="D348" i="4"/>
  <c r="A348" i="4"/>
  <c r="D347" i="4"/>
  <c r="A347" i="4"/>
  <c r="D346" i="4"/>
  <c r="A346" i="4"/>
  <c r="D345" i="4"/>
  <c r="A345" i="4"/>
  <c r="D344" i="4"/>
  <c r="A344" i="4"/>
  <c r="D343" i="4"/>
  <c r="A343" i="4"/>
  <c r="D342" i="4"/>
  <c r="A342" i="4"/>
  <c r="D341" i="4"/>
  <c r="A341" i="4"/>
  <c r="D340" i="4"/>
  <c r="A340" i="4"/>
  <c r="D339" i="4"/>
  <c r="A339" i="4"/>
  <c r="D338" i="4"/>
  <c r="A338" i="4"/>
  <c r="D337" i="4"/>
  <c r="A337" i="4"/>
  <c r="D336" i="4"/>
  <c r="A336" i="4"/>
  <c r="D335" i="4"/>
  <c r="A335" i="4"/>
  <c r="D334" i="4"/>
  <c r="A334" i="4"/>
  <c r="D333" i="4"/>
  <c r="A333" i="4"/>
  <c r="D332" i="4"/>
  <c r="A332" i="4"/>
  <c r="D331" i="4"/>
  <c r="A331" i="4"/>
  <c r="D330" i="4"/>
  <c r="A330" i="4"/>
  <c r="D329" i="4"/>
  <c r="A329" i="4"/>
  <c r="D328" i="4"/>
  <c r="A328" i="4"/>
  <c r="D327" i="4"/>
  <c r="A327" i="4"/>
  <c r="D326" i="4"/>
  <c r="A326" i="4"/>
  <c r="D325" i="4"/>
  <c r="A325" i="4"/>
  <c r="D324" i="4"/>
  <c r="A324" i="4"/>
  <c r="D323" i="4"/>
  <c r="A323" i="4"/>
  <c r="D322" i="4"/>
  <c r="A322" i="4"/>
  <c r="D321" i="4"/>
  <c r="A321" i="4"/>
  <c r="D320" i="4"/>
  <c r="A320" i="4"/>
  <c r="D319" i="4"/>
  <c r="A319" i="4"/>
  <c r="D318" i="4"/>
  <c r="A318" i="4"/>
  <c r="D317" i="4"/>
  <c r="A317" i="4"/>
  <c r="D316" i="4"/>
  <c r="A316" i="4"/>
  <c r="D315" i="4"/>
  <c r="A315" i="4"/>
  <c r="D314" i="4"/>
  <c r="A314" i="4"/>
  <c r="D313" i="4"/>
  <c r="A313" i="4"/>
  <c r="D312" i="4"/>
  <c r="A312" i="4"/>
  <c r="D311" i="4"/>
  <c r="A311" i="4"/>
  <c r="D310" i="4"/>
  <c r="A310" i="4"/>
  <c r="D309" i="4"/>
  <c r="A309" i="4"/>
  <c r="D308" i="4"/>
  <c r="A308" i="4"/>
  <c r="D307" i="4"/>
  <c r="A307" i="4"/>
  <c r="D306" i="4"/>
  <c r="A306" i="4"/>
  <c r="D305" i="4"/>
  <c r="A305" i="4"/>
  <c r="D304" i="4"/>
  <c r="A304" i="4"/>
  <c r="D303" i="4"/>
  <c r="A303" i="4"/>
  <c r="D302" i="4"/>
  <c r="A302" i="4"/>
  <c r="D301" i="4"/>
  <c r="A301" i="4"/>
  <c r="D300" i="4"/>
  <c r="A300" i="4"/>
  <c r="D299" i="4"/>
  <c r="A299" i="4"/>
  <c r="D298" i="4"/>
  <c r="A298" i="4"/>
  <c r="D297" i="4"/>
  <c r="A297" i="4"/>
  <c r="D296" i="4"/>
  <c r="A296" i="4"/>
  <c r="D295" i="4"/>
  <c r="A295" i="4"/>
  <c r="D294" i="4"/>
  <c r="A294" i="4"/>
  <c r="D293" i="4"/>
  <c r="A293" i="4"/>
  <c r="D292" i="4"/>
  <c r="A292" i="4"/>
  <c r="D291" i="4"/>
  <c r="A291" i="4"/>
  <c r="D290" i="4"/>
  <c r="A290" i="4"/>
  <c r="D289" i="4"/>
  <c r="A289" i="4"/>
  <c r="D288" i="4"/>
  <c r="A288" i="4"/>
  <c r="D287" i="4"/>
  <c r="A287" i="4"/>
  <c r="D286" i="4"/>
  <c r="A286" i="4"/>
  <c r="D285" i="4"/>
  <c r="A285" i="4"/>
  <c r="D284" i="4"/>
  <c r="A284" i="4"/>
  <c r="D283" i="4"/>
  <c r="A283" i="4"/>
  <c r="D282" i="4"/>
  <c r="A282" i="4"/>
  <c r="D281" i="4"/>
  <c r="A281" i="4"/>
  <c r="D280" i="4"/>
  <c r="A280" i="4"/>
  <c r="D279" i="4"/>
  <c r="A279" i="4"/>
  <c r="D278" i="4"/>
  <c r="A278" i="4"/>
  <c r="D277" i="4"/>
  <c r="A277" i="4"/>
  <c r="D276" i="4"/>
  <c r="A276" i="4"/>
  <c r="D275" i="4"/>
  <c r="A275" i="4"/>
  <c r="D274" i="4"/>
  <c r="A274" i="4"/>
  <c r="D273" i="4"/>
  <c r="A273" i="4"/>
  <c r="D272" i="4"/>
  <c r="A272" i="4"/>
  <c r="D271" i="4"/>
  <c r="A271" i="4"/>
  <c r="D270" i="4"/>
  <c r="A270" i="4"/>
  <c r="D269" i="4"/>
  <c r="A269" i="4"/>
  <c r="D268" i="4"/>
  <c r="A268" i="4"/>
  <c r="D267" i="4"/>
  <c r="A267" i="4"/>
  <c r="D266" i="4"/>
  <c r="A266" i="4"/>
  <c r="D265" i="4"/>
  <c r="A265" i="4"/>
  <c r="D264" i="4"/>
  <c r="A264" i="4"/>
  <c r="D263" i="4"/>
  <c r="A263" i="4"/>
  <c r="D262" i="4"/>
  <c r="A262" i="4"/>
  <c r="D261" i="4"/>
  <c r="A261" i="4"/>
  <c r="D260" i="4"/>
  <c r="A260" i="4"/>
  <c r="D259" i="4"/>
  <c r="A259" i="4"/>
  <c r="D258" i="4"/>
  <c r="A258" i="4"/>
  <c r="D257" i="4"/>
  <c r="A257" i="4"/>
  <c r="D256" i="4"/>
  <c r="A256" i="4"/>
  <c r="D255" i="4"/>
  <c r="A255" i="4"/>
  <c r="D254" i="4"/>
  <c r="A254" i="4"/>
  <c r="D253" i="4"/>
  <c r="A253" i="4"/>
  <c r="D252" i="4"/>
  <c r="A252" i="4"/>
  <c r="D251" i="4"/>
  <c r="A251" i="4"/>
  <c r="D250" i="4"/>
  <c r="A250" i="4"/>
  <c r="D249" i="4"/>
  <c r="A249" i="4"/>
  <c r="D248" i="4"/>
  <c r="A248" i="4"/>
  <c r="D247" i="4"/>
  <c r="A247" i="4"/>
  <c r="D246" i="4"/>
  <c r="A246" i="4"/>
  <c r="D245" i="4"/>
  <c r="A245" i="4"/>
  <c r="D244" i="4"/>
  <c r="A244" i="4"/>
  <c r="D243" i="4"/>
  <c r="A243" i="4"/>
  <c r="D242" i="4"/>
  <c r="A242" i="4"/>
  <c r="D241" i="4"/>
  <c r="A241" i="4"/>
  <c r="D240" i="4"/>
  <c r="A240" i="4"/>
  <c r="D239" i="4"/>
  <c r="A239" i="4"/>
  <c r="D238" i="4"/>
  <c r="A238" i="4"/>
  <c r="D237" i="4"/>
  <c r="A237" i="4"/>
  <c r="D236" i="4"/>
  <c r="A236" i="4"/>
  <c r="D235" i="4"/>
  <c r="A235" i="4"/>
  <c r="D234" i="4"/>
  <c r="A234" i="4"/>
  <c r="D233" i="4"/>
  <c r="A233" i="4"/>
  <c r="D232" i="4"/>
  <c r="A232" i="4"/>
  <c r="D231" i="4"/>
  <c r="A231" i="4"/>
  <c r="D230" i="4"/>
  <c r="A230" i="4"/>
  <c r="D229" i="4"/>
  <c r="A229" i="4"/>
  <c r="D228" i="4"/>
  <c r="A228" i="4"/>
  <c r="D227" i="4"/>
  <c r="A227" i="4"/>
  <c r="D226" i="4"/>
  <c r="A226" i="4"/>
  <c r="D225" i="4"/>
  <c r="A225" i="4"/>
  <c r="D224" i="4"/>
  <c r="A224" i="4"/>
  <c r="D223" i="4"/>
  <c r="A223" i="4"/>
  <c r="D222" i="4"/>
  <c r="A222" i="4"/>
  <c r="D221" i="4"/>
  <c r="A221" i="4"/>
  <c r="D220" i="4"/>
  <c r="A220" i="4"/>
  <c r="D219" i="4"/>
  <c r="A219" i="4"/>
  <c r="D218" i="4"/>
  <c r="A218" i="4"/>
  <c r="D217" i="4"/>
  <c r="A217" i="4"/>
  <c r="D216" i="4"/>
  <c r="A216" i="4"/>
  <c r="D215" i="4"/>
  <c r="A215" i="4"/>
  <c r="D214" i="4"/>
  <c r="A214" i="4"/>
  <c r="D213" i="4"/>
  <c r="A213" i="4"/>
  <c r="D212" i="4"/>
  <c r="A212" i="4"/>
  <c r="D211" i="4"/>
  <c r="A211" i="4"/>
  <c r="D210" i="4"/>
  <c r="A210" i="4"/>
  <c r="D209" i="4"/>
  <c r="A209" i="4"/>
  <c r="D208" i="4"/>
  <c r="A208" i="4"/>
  <c r="D207" i="4"/>
  <c r="A207" i="4"/>
  <c r="D206" i="4"/>
  <c r="A206" i="4"/>
  <c r="D205" i="4"/>
  <c r="A205" i="4"/>
  <c r="D204" i="4"/>
  <c r="A204" i="4"/>
  <c r="D203" i="4"/>
  <c r="A203" i="4"/>
  <c r="D202" i="4"/>
  <c r="A202" i="4"/>
  <c r="D201" i="4"/>
  <c r="A201" i="4"/>
  <c r="D200" i="4"/>
  <c r="A200" i="4"/>
  <c r="D199" i="4"/>
  <c r="A199" i="4"/>
  <c r="D198" i="4"/>
  <c r="A198" i="4"/>
  <c r="D197" i="4"/>
  <c r="A197" i="4"/>
  <c r="D196" i="4"/>
  <c r="A196" i="4"/>
  <c r="D195" i="4"/>
  <c r="A195" i="4"/>
  <c r="D194" i="4"/>
  <c r="A194" i="4"/>
  <c r="D193" i="4"/>
  <c r="A193" i="4"/>
  <c r="D192" i="4"/>
  <c r="A192" i="4"/>
  <c r="D191" i="4"/>
  <c r="A191" i="4"/>
  <c r="D190" i="4"/>
  <c r="A190" i="4"/>
  <c r="D189" i="4"/>
  <c r="A189" i="4"/>
  <c r="D188" i="4"/>
  <c r="A188" i="4"/>
  <c r="D187" i="4"/>
  <c r="A187" i="4"/>
  <c r="D186" i="4"/>
  <c r="A186" i="4"/>
  <c r="D185" i="4"/>
  <c r="A185" i="4"/>
  <c r="D184" i="4"/>
  <c r="A184" i="4"/>
  <c r="D183" i="4"/>
  <c r="A183" i="4"/>
  <c r="D182" i="4"/>
  <c r="A182" i="4"/>
  <c r="D181" i="4"/>
  <c r="A181" i="4"/>
  <c r="D180" i="4"/>
  <c r="A180" i="4"/>
  <c r="D179" i="4"/>
  <c r="A179" i="4"/>
  <c r="D178" i="4"/>
  <c r="A178" i="4"/>
  <c r="D177" i="4"/>
  <c r="A177" i="4"/>
  <c r="D176" i="4"/>
  <c r="A176" i="4"/>
  <c r="D175" i="4"/>
  <c r="A175" i="4"/>
  <c r="D174" i="4"/>
  <c r="A174" i="4"/>
  <c r="D173" i="4"/>
  <c r="A173" i="4"/>
  <c r="D172" i="4"/>
  <c r="A172" i="4"/>
  <c r="D171" i="4"/>
  <c r="A171" i="4"/>
  <c r="D170" i="4"/>
  <c r="A170" i="4"/>
  <c r="D169" i="4"/>
  <c r="A169" i="4"/>
  <c r="D168" i="4"/>
  <c r="A168" i="4"/>
  <c r="D167" i="4"/>
  <c r="A167" i="4"/>
  <c r="D166" i="4"/>
  <c r="A166" i="4"/>
  <c r="D165" i="4"/>
  <c r="A165" i="4"/>
  <c r="D164" i="4"/>
  <c r="A164" i="4"/>
  <c r="D163" i="4"/>
  <c r="A163" i="4"/>
  <c r="D162" i="4"/>
  <c r="A162" i="4"/>
  <c r="D161" i="4"/>
  <c r="A161" i="4"/>
  <c r="D160" i="4"/>
  <c r="A160" i="4"/>
  <c r="D159" i="4"/>
  <c r="A159" i="4"/>
  <c r="D158" i="4"/>
  <c r="A158" i="4"/>
  <c r="D157" i="4"/>
  <c r="A157" i="4"/>
  <c r="D156" i="4"/>
  <c r="A156" i="4"/>
  <c r="D155" i="4"/>
  <c r="A155" i="4"/>
  <c r="D154" i="4"/>
  <c r="A154" i="4"/>
  <c r="D153" i="4"/>
  <c r="A153" i="4"/>
  <c r="D152" i="4"/>
  <c r="A152" i="4"/>
  <c r="D151" i="4"/>
  <c r="A151" i="4"/>
  <c r="D150" i="4"/>
  <c r="A150" i="4"/>
  <c r="D149" i="4"/>
  <c r="A149" i="4"/>
  <c r="D148" i="4"/>
  <c r="A148" i="4"/>
  <c r="D147" i="4"/>
  <c r="A147" i="4"/>
  <c r="D146" i="4"/>
  <c r="A146" i="4"/>
  <c r="D145" i="4"/>
  <c r="A145" i="4"/>
  <c r="D144" i="4"/>
  <c r="A144" i="4"/>
  <c r="D143" i="4"/>
  <c r="A143" i="4"/>
  <c r="D142" i="4"/>
  <c r="A142" i="4"/>
  <c r="D141" i="4"/>
  <c r="A141" i="4"/>
  <c r="D140" i="4"/>
  <c r="A140" i="4"/>
  <c r="D139" i="4"/>
  <c r="A139" i="4"/>
  <c r="D138" i="4"/>
  <c r="A138" i="4"/>
  <c r="D137" i="4"/>
  <c r="A137" i="4"/>
  <c r="D136" i="4"/>
  <c r="A136" i="4"/>
  <c r="D135" i="4"/>
  <c r="A135" i="4"/>
  <c r="D134" i="4"/>
  <c r="A134" i="4"/>
  <c r="D133" i="4"/>
  <c r="A133" i="4"/>
  <c r="D132" i="4"/>
  <c r="A132" i="4"/>
  <c r="D131" i="4"/>
  <c r="A131" i="4"/>
  <c r="D130" i="4"/>
  <c r="A130" i="4"/>
  <c r="D129" i="4"/>
  <c r="A129" i="4"/>
  <c r="D128" i="4"/>
  <c r="A128" i="4"/>
  <c r="D127" i="4"/>
  <c r="A127" i="4"/>
  <c r="D126" i="4"/>
  <c r="A126" i="4"/>
  <c r="D125" i="4"/>
  <c r="A125" i="4"/>
  <c r="D124" i="4"/>
  <c r="A124" i="4"/>
  <c r="D123" i="4"/>
  <c r="A123" i="4"/>
  <c r="D122" i="4"/>
  <c r="A122" i="4"/>
  <c r="D121" i="4"/>
  <c r="A121" i="4"/>
  <c r="D120" i="4"/>
  <c r="A120" i="4"/>
  <c r="D119" i="4"/>
  <c r="A119" i="4"/>
  <c r="D118" i="4"/>
  <c r="A118" i="4"/>
  <c r="D117" i="4"/>
  <c r="A117" i="4"/>
  <c r="D116" i="4"/>
  <c r="A116" i="4"/>
  <c r="D115" i="4"/>
  <c r="A115" i="4"/>
  <c r="D114" i="4"/>
  <c r="A114" i="4"/>
  <c r="D113" i="4"/>
  <c r="A113" i="4"/>
  <c r="D112" i="4"/>
  <c r="A112" i="4"/>
  <c r="D111" i="4"/>
  <c r="A111" i="4"/>
  <c r="D110" i="4"/>
  <c r="A110" i="4"/>
  <c r="D109" i="4"/>
  <c r="A109" i="4"/>
  <c r="D108" i="4"/>
  <c r="A108" i="4"/>
  <c r="D107" i="4"/>
  <c r="A107" i="4"/>
  <c r="D106" i="4"/>
  <c r="A106" i="4"/>
  <c r="D105" i="4"/>
  <c r="A105" i="4"/>
  <c r="D104" i="4"/>
  <c r="A104" i="4"/>
  <c r="D103" i="4"/>
  <c r="A103" i="4"/>
  <c r="D102" i="4"/>
  <c r="A102" i="4"/>
  <c r="D101" i="4"/>
  <c r="A101" i="4"/>
  <c r="D100" i="4"/>
  <c r="A100" i="4"/>
  <c r="D99" i="4"/>
  <c r="A99" i="4"/>
  <c r="D98" i="4"/>
  <c r="A98" i="4"/>
  <c r="D97" i="4"/>
  <c r="A97" i="4"/>
  <c r="D96" i="4"/>
  <c r="A96" i="4"/>
  <c r="D95" i="4"/>
  <c r="A95" i="4"/>
  <c r="D94" i="4"/>
  <c r="A94" i="4"/>
  <c r="D93" i="4"/>
  <c r="A93" i="4"/>
  <c r="D92" i="4"/>
  <c r="A92" i="4"/>
  <c r="D91" i="4"/>
  <c r="A91" i="4"/>
  <c r="D90" i="4"/>
  <c r="A90" i="4"/>
  <c r="D89" i="4"/>
  <c r="A89" i="4"/>
  <c r="D88" i="4"/>
  <c r="A88" i="4"/>
  <c r="D87" i="4"/>
  <c r="A87" i="4"/>
  <c r="D86" i="4"/>
  <c r="A86" i="4"/>
  <c r="D85" i="4"/>
  <c r="A85" i="4"/>
  <c r="D84" i="4"/>
  <c r="A84" i="4"/>
  <c r="D83" i="4"/>
  <c r="A83" i="4"/>
  <c r="D82" i="4"/>
  <c r="A82" i="4"/>
  <c r="D81" i="4"/>
  <c r="A81" i="4"/>
  <c r="D80" i="4"/>
  <c r="A80" i="4"/>
  <c r="D79" i="4"/>
  <c r="A79" i="4"/>
  <c r="D78" i="4"/>
  <c r="A78" i="4"/>
  <c r="D77" i="4"/>
  <c r="A77" i="4"/>
  <c r="D76" i="4"/>
  <c r="A76" i="4"/>
  <c r="D75" i="4"/>
  <c r="A75" i="4"/>
  <c r="D74" i="4"/>
  <c r="A74" i="4"/>
  <c r="D73" i="4"/>
  <c r="A73" i="4"/>
  <c r="D72" i="4"/>
  <c r="A72" i="4"/>
  <c r="D71" i="4"/>
  <c r="A71" i="4"/>
  <c r="D70" i="4"/>
  <c r="A70" i="4"/>
  <c r="D69" i="4"/>
  <c r="A69" i="4"/>
  <c r="D68" i="4"/>
  <c r="A68" i="4"/>
  <c r="D67" i="4"/>
  <c r="A67" i="4"/>
  <c r="D66" i="4"/>
  <c r="A66" i="4"/>
  <c r="D65" i="4"/>
  <c r="A65" i="4"/>
  <c r="D64" i="4"/>
  <c r="A64" i="4"/>
  <c r="D63" i="4"/>
  <c r="A63" i="4"/>
  <c r="D62" i="4"/>
  <c r="A62" i="4"/>
  <c r="D61" i="4"/>
  <c r="A61" i="4"/>
  <c r="D60" i="4"/>
  <c r="A60" i="4"/>
  <c r="D59" i="4"/>
  <c r="A59" i="4"/>
  <c r="D58" i="4"/>
  <c r="A58" i="4"/>
  <c r="D57" i="4"/>
  <c r="A57" i="4"/>
  <c r="D56" i="4"/>
  <c r="A56" i="4"/>
  <c r="D55" i="4"/>
  <c r="A55" i="4"/>
  <c r="D54" i="4"/>
  <c r="A54" i="4"/>
  <c r="D53" i="4"/>
  <c r="A53" i="4"/>
  <c r="D52" i="4"/>
  <c r="A52" i="4"/>
  <c r="D51" i="4"/>
  <c r="A51" i="4"/>
  <c r="D50" i="4"/>
  <c r="A50" i="4"/>
  <c r="D49" i="4"/>
  <c r="A49" i="4"/>
  <c r="D48" i="4"/>
  <c r="A48" i="4"/>
  <c r="D47" i="4"/>
  <c r="A47" i="4"/>
  <c r="D46" i="4"/>
  <c r="A46" i="4"/>
  <c r="D45" i="4"/>
  <c r="A45" i="4"/>
  <c r="D44" i="4"/>
  <c r="A44" i="4"/>
  <c r="D43" i="4"/>
  <c r="A43" i="4"/>
  <c r="D42" i="4"/>
  <c r="A42" i="4"/>
  <c r="D41" i="4"/>
  <c r="A41" i="4"/>
  <c r="D40" i="4"/>
  <c r="A40" i="4"/>
  <c r="D39" i="4"/>
  <c r="A39" i="4"/>
  <c r="D38" i="4"/>
  <c r="A38" i="4"/>
  <c r="D37" i="4"/>
  <c r="A37" i="4"/>
  <c r="D36" i="4"/>
  <c r="A36" i="4"/>
  <c r="D35" i="4"/>
  <c r="A35" i="4"/>
  <c r="D34" i="4"/>
  <c r="A34" i="4"/>
  <c r="D33" i="4"/>
  <c r="A33" i="4"/>
  <c r="D32" i="4"/>
  <c r="A32" i="4"/>
  <c r="D31" i="4"/>
  <c r="A31" i="4"/>
  <c r="D30" i="4"/>
  <c r="A30" i="4"/>
  <c r="D29" i="4"/>
  <c r="A29" i="4"/>
  <c r="D28" i="4"/>
  <c r="A28" i="4"/>
  <c r="D27" i="4"/>
  <c r="A27" i="4"/>
  <c r="D26" i="4"/>
  <c r="A26" i="4"/>
  <c r="D25" i="4"/>
  <c r="A25" i="4"/>
  <c r="D24" i="4"/>
  <c r="A24" i="4"/>
  <c r="D23" i="4"/>
  <c r="A23" i="4"/>
  <c r="D22" i="4"/>
  <c r="A22" i="4"/>
  <c r="D21" i="4"/>
  <c r="A21" i="4"/>
  <c r="D20" i="4"/>
  <c r="A20" i="4"/>
  <c r="D19" i="4"/>
  <c r="A19" i="4"/>
  <c r="D18" i="4"/>
  <c r="A18" i="4"/>
  <c r="D17" i="4"/>
  <c r="A17" i="4"/>
  <c r="D16" i="4"/>
  <c r="A16" i="4"/>
  <c r="D15" i="4"/>
  <c r="A15" i="4"/>
  <c r="D14" i="4"/>
  <c r="A14" i="4"/>
  <c r="D13" i="4"/>
  <c r="A13" i="4"/>
  <c r="D12" i="4"/>
  <c r="A12" i="4"/>
  <c r="D11" i="4"/>
  <c r="A11" i="4"/>
  <c r="D10" i="4"/>
  <c r="A10" i="4"/>
  <c r="D9" i="4"/>
  <c r="A9" i="4"/>
  <c r="D8" i="4"/>
  <c r="A8" i="4"/>
  <c r="D7" i="4"/>
  <c r="A7" i="4"/>
  <c r="D6" i="4"/>
  <c r="A6" i="4"/>
  <c r="D5" i="4"/>
  <c r="A5" i="4"/>
  <c r="D4" i="4"/>
  <c r="A4" i="4"/>
</calcChain>
</file>

<file path=xl/sharedStrings.xml><?xml version="1.0" encoding="utf-8"?>
<sst xmlns="http://schemas.openxmlformats.org/spreadsheetml/2006/main" count="10561" uniqueCount="4545">
  <si>
    <t>CENSUS CODE</t>
  </si>
  <si>
    <t>CENSUS_CODE_LABEL</t>
  </si>
  <si>
    <t>ATHNA</t>
  </si>
  <si>
    <t>BIORKA</t>
  </si>
  <si>
    <t>BRISTOL BAY</t>
  </si>
  <si>
    <t>CALISTA</t>
  </si>
  <si>
    <t>CHUGACH</t>
  </si>
  <si>
    <t>TANAINA</t>
  </si>
  <si>
    <t>DOYON</t>
  </si>
  <si>
    <t>KODIAK</t>
  </si>
  <si>
    <t>SEALASKA</t>
  </si>
  <si>
    <t>UMPQUA</t>
  </si>
  <si>
    <t>ALASKAN ATHABASCAN</t>
  </si>
  <si>
    <t>ALASKA NATIVE</t>
  </si>
  <si>
    <t>HAIDA</t>
  </si>
  <si>
    <t>TLINGIT</t>
  </si>
  <si>
    <t>TSIMSHIAN</t>
  </si>
  <si>
    <t>ALASKA INDIAN</t>
  </si>
  <si>
    <t>CHEHALIS</t>
  </si>
  <si>
    <t>CHEMAKUM</t>
  </si>
  <si>
    <t>CLALLAM</t>
  </si>
  <si>
    <t>JAMESTOWN</t>
  </si>
  <si>
    <t>LOWER ELWHA</t>
  </si>
  <si>
    <t>PORT GAMBLE CLALLAM</t>
  </si>
  <si>
    <t>COQUILLE</t>
  </si>
  <si>
    <t>COWLITZ</t>
  </si>
  <si>
    <t>LUMMI</t>
  </si>
  <si>
    <t>NOOKSACK</t>
  </si>
  <si>
    <t>PUGET SOUND SALISH</t>
  </si>
  <si>
    <t>DUWAMISH</t>
  </si>
  <si>
    <t>KIKIALLUS</t>
  </si>
  <si>
    <t>LOWER SKAGIT</t>
  </si>
  <si>
    <t>MUCKLESHOOT</t>
  </si>
  <si>
    <t>NISQUALLY</t>
  </si>
  <si>
    <t>PUYALLUP</t>
  </si>
  <si>
    <t>SAMISH</t>
  </si>
  <si>
    <t>SAUK-SUIATTLE</t>
  </si>
  <si>
    <t>UPPER SKAGIT</t>
  </si>
  <si>
    <t>SKYKOMISH</t>
  </si>
  <si>
    <t>SNOHOMISH</t>
  </si>
  <si>
    <t>SNOQUALMIE</t>
  </si>
  <si>
    <t>SQUAXIN ISLAND</t>
  </si>
  <si>
    <t>STEILACOOM</t>
  </si>
  <si>
    <t>STILLAGUAMISH</t>
  </si>
  <si>
    <t>SUQUAMISH</t>
  </si>
  <si>
    <t>SWINOMISH</t>
  </si>
  <si>
    <t>TULALIP</t>
  </si>
  <si>
    <t>PORT MADISON</t>
  </si>
  <si>
    <t>QUINAULT</t>
  </si>
  <si>
    <t>QUILEUTE</t>
  </si>
  <si>
    <t>HOH</t>
  </si>
  <si>
    <t>MAKAH</t>
  </si>
  <si>
    <t>TALAKAMISH</t>
  </si>
  <si>
    <t>CHINOOK</t>
  </si>
  <si>
    <t>CLATSOP</t>
  </si>
  <si>
    <t>KATHLAMET</t>
  </si>
  <si>
    <t>COLUMBIA RIVER CHINOOK</t>
  </si>
  <si>
    <t>UPPER CHINOOK</t>
  </si>
  <si>
    <t>WAKIAKUM CHINOOK</t>
  </si>
  <si>
    <t>WILLAPA CHINOOK</t>
  </si>
  <si>
    <t>ALSEA</t>
  </si>
  <si>
    <t>CAYUSE</t>
  </si>
  <si>
    <t>CELILO</t>
  </si>
  <si>
    <t>COOS</t>
  </si>
  <si>
    <t>KALAPUYA</t>
  </si>
  <si>
    <t>KLAMATH</t>
  </si>
  <si>
    <t>MOLALA</t>
  </si>
  <si>
    <t>OREGON ATHABASKAN</t>
  </si>
  <si>
    <t>SIUSLAW</t>
  </si>
  <si>
    <t>TAKELMA</t>
  </si>
  <si>
    <t>TENINO</t>
  </si>
  <si>
    <t>TILLAMOOK</t>
  </si>
  <si>
    <t>TYGH</t>
  </si>
  <si>
    <t>UMATILLA</t>
  </si>
  <si>
    <t>WALLA WALLA</t>
  </si>
  <si>
    <t>YAHOOSKIN</t>
  </si>
  <si>
    <t>YAKIMA</t>
  </si>
  <si>
    <t>SKOKOMISH</t>
  </si>
  <si>
    <t>AGUA CALIENTE CAHUILLA</t>
  </si>
  <si>
    <t>AUGUSTINE</t>
  </si>
  <si>
    <t>CABAZON</t>
  </si>
  <si>
    <t>CAHTO</t>
  </si>
  <si>
    <t>CAHUILLA</t>
  </si>
  <si>
    <t>CAMPO</t>
  </si>
  <si>
    <t>CAPITAN GRANDE</t>
  </si>
  <si>
    <t>CHEMEHUEVI</t>
  </si>
  <si>
    <t>CHIMARIKO</t>
  </si>
  <si>
    <t>CHUMASH</t>
  </si>
  <si>
    <t>COSTANOAN</t>
  </si>
  <si>
    <t>CUPENO</t>
  </si>
  <si>
    <t>CUYAPAIPE</t>
  </si>
  <si>
    <t>DIEGUENO</t>
  </si>
  <si>
    <t>DIGGER</t>
  </si>
  <si>
    <t>GABRIELENO</t>
  </si>
  <si>
    <t>HOOPA</t>
  </si>
  <si>
    <t>INAJA COSMIT</t>
  </si>
  <si>
    <t>KAROK</t>
  </si>
  <si>
    <t>KAWAIISU</t>
  </si>
  <si>
    <t>LA JOLLA</t>
  </si>
  <si>
    <t>LASSIK</t>
  </si>
  <si>
    <t>LA POSTA</t>
  </si>
  <si>
    <t>LUISENO</t>
  </si>
  <si>
    <t>MAIDU</t>
  </si>
  <si>
    <t>MANZANITA</t>
  </si>
  <si>
    <t>MESA GRANDE</t>
  </si>
  <si>
    <t>MOUNTAIN MAIDU</t>
  </si>
  <si>
    <t>NISHINAM</t>
  </si>
  <si>
    <t>KONKOW</t>
  </si>
  <si>
    <t>MATTOLE</t>
  </si>
  <si>
    <t>MIWOK</t>
  </si>
  <si>
    <t>COAST MIWOK</t>
  </si>
  <si>
    <t>MODOC</t>
  </si>
  <si>
    <t>MONO</t>
  </si>
  <si>
    <t>NOMALAKI</t>
  </si>
  <si>
    <t>PALA</t>
  </si>
  <si>
    <t>PECHANGA</t>
  </si>
  <si>
    <t>PAUMA</t>
  </si>
  <si>
    <t>PIT RIVER</t>
  </si>
  <si>
    <t>POMO</t>
  </si>
  <si>
    <t>DRY CREEK</t>
  </si>
  <si>
    <t>NORTHERN POMO</t>
  </si>
  <si>
    <t>KASHAYA</t>
  </si>
  <si>
    <t>CENTRAL POMO</t>
  </si>
  <si>
    <t>STONYFORD</t>
  </si>
  <si>
    <t>EASTERN POMO</t>
  </si>
  <si>
    <t>SULPHUR BANK</t>
  </si>
  <si>
    <t>SALINAN</t>
  </si>
  <si>
    <t>SAN MANUAL</t>
  </si>
  <si>
    <t>SAN PASCUAL</t>
  </si>
  <si>
    <t>SANTA ROSA CAHUILLA</t>
  </si>
  <si>
    <t>SANTA YNEZ</t>
  </si>
  <si>
    <t>SANTA YSABEL</t>
  </si>
  <si>
    <t>SERRANO</t>
  </si>
  <si>
    <t>SHASTA</t>
  </si>
  <si>
    <t>SOBOBA</t>
  </si>
  <si>
    <t>SYCUAN</t>
  </si>
  <si>
    <t>TOLOWA</t>
  </si>
  <si>
    <t>TORRES-MARTINEZ</t>
  </si>
  <si>
    <t>KERN RIVER</t>
  </si>
  <si>
    <t>TULE RIVER</t>
  </si>
  <si>
    <t>TWENTY-NINE PALMS</t>
  </si>
  <si>
    <t>WAILAKI</t>
  </si>
  <si>
    <t>WAPPO</t>
  </si>
  <si>
    <t>WHILKUT</t>
  </si>
  <si>
    <t>WINTU</t>
  </si>
  <si>
    <t>WIYOT</t>
  </si>
  <si>
    <t>YANA</t>
  </si>
  <si>
    <t>YOKUTS</t>
  </si>
  <si>
    <t>TACHI</t>
  </si>
  <si>
    <t>CHUKCHANSI</t>
  </si>
  <si>
    <t>YUKI</t>
  </si>
  <si>
    <t>YUROK</t>
  </si>
  <si>
    <t>COLUMBIA WENATCHEE</t>
  </si>
  <si>
    <t>KALISPEL</t>
  </si>
  <si>
    <t>FLATHEAD</t>
  </si>
  <si>
    <t>COEUR D'ALENE</t>
  </si>
  <si>
    <t>COLVILLE</t>
  </si>
  <si>
    <t>SPOKANE</t>
  </si>
  <si>
    <t>NEZ PERCE</t>
  </si>
  <si>
    <t>WASHO</t>
  </si>
  <si>
    <t>ALPINE</t>
  </si>
  <si>
    <t>CARSON</t>
  </si>
  <si>
    <t>DRESSLERVILLE</t>
  </si>
  <si>
    <t>STEWART</t>
  </si>
  <si>
    <t>WISHRAM</t>
  </si>
  <si>
    <t>HOOPA EXTENSION</t>
  </si>
  <si>
    <t>TRINITY</t>
  </si>
  <si>
    <t>UTE</t>
  </si>
  <si>
    <t>ALLEN CANYON</t>
  </si>
  <si>
    <t>UNITAH UTE</t>
  </si>
  <si>
    <t>UTE MOUNTAIN UTE</t>
  </si>
  <si>
    <t>SHAWNEE PAIUTE</t>
  </si>
  <si>
    <t>PAIUTE</t>
  </si>
  <si>
    <t>NORTHERN PAIUTE</t>
  </si>
  <si>
    <t>CEDARVILLE</t>
  </si>
  <si>
    <t>PYRAMID LAKE</t>
  </si>
  <si>
    <t>FORT BIDWELL</t>
  </si>
  <si>
    <t>LAS VEGAS</t>
  </si>
  <si>
    <t>LOVELOCK</t>
  </si>
  <si>
    <t>UTU UTU GWAITU PAIUTE</t>
  </si>
  <si>
    <t>FORT INDEPENDENCE</t>
  </si>
  <si>
    <t>BRIDGEPORT</t>
  </si>
  <si>
    <t>BURNS PAIUTE</t>
  </si>
  <si>
    <t>YERINGTON PAIUTE</t>
  </si>
  <si>
    <t>WALKER RIVER</t>
  </si>
  <si>
    <t>SOUTHERN PAIUTE</t>
  </si>
  <si>
    <t>KAIBAB</t>
  </si>
  <si>
    <t>MOAPA</t>
  </si>
  <si>
    <t>OWENS VALLEY</t>
  </si>
  <si>
    <t>SUMMIT LAKE</t>
  </si>
  <si>
    <t>AROASTOAK</t>
  </si>
  <si>
    <t>SHOSHONE</t>
  </si>
  <si>
    <t>BATTLE MOUNTAIN</t>
  </si>
  <si>
    <t>DUCKWATER</t>
  </si>
  <si>
    <t>ELKO</t>
  </si>
  <si>
    <t>ELY</t>
  </si>
  <si>
    <t>GOSHUTE</t>
  </si>
  <si>
    <t>PANAMINT</t>
  </si>
  <si>
    <t>RUBY VALLEY</t>
  </si>
  <si>
    <t>SOUTH FORK SHOSHONE</t>
  </si>
  <si>
    <t>WASHAKIE</t>
  </si>
  <si>
    <t>YOMBA</t>
  </si>
  <si>
    <t>TE-MOAK WESTERN SHOSHONE</t>
  </si>
  <si>
    <t>BANNOCK</t>
  </si>
  <si>
    <t>KOOTENAI</t>
  </si>
  <si>
    <t>HAVASUPAI</t>
  </si>
  <si>
    <t>HUALAPAI</t>
  </si>
  <si>
    <t>YAVAPAI</t>
  </si>
  <si>
    <t>MARICOPA</t>
  </si>
  <si>
    <t>QUECHAN</t>
  </si>
  <si>
    <t>COCOPAH</t>
  </si>
  <si>
    <t>MOHAVE</t>
  </si>
  <si>
    <t>PIMA</t>
  </si>
  <si>
    <t>PAPAGO</t>
  </si>
  <si>
    <t>GILA BEND</t>
  </si>
  <si>
    <t>AK-CHIN</t>
  </si>
  <si>
    <t>SAN XAVIER</t>
  </si>
  <si>
    <t>SELLS</t>
  </si>
  <si>
    <t>YAQUI</t>
  </si>
  <si>
    <t>PASCUA YAQUI</t>
  </si>
  <si>
    <t>BARRIO LIBRE</t>
  </si>
  <si>
    <t>WESTERN TENN./MISS. CHOCTAW</t>
  </si>
  <si>
    <t>JENA CHOCTAW</t>
  </si>
  <si>
    <t>PUEBLO</t>
  </si>
  <si>
    <t>TIGUA</t>
  </si>
  <si>
    <t>TAOS</t>
  </si>
  <si>
    <t>PICURIS</t>
  </si>
  <si>
    <t>SANDIA</t>
  </si>
  <si>
    <t>ISLETA</t>
  </si>
  <si>
    <t>KERES</t>
  </si>
  <si>
    <t>ACOMA</t>
  </si>
  <si>
    <t>COCHITI</t>
  </si>
  <si>
    <t>LAGUNA</t>
  </si>
  <si>
    <t>SAN FELIPE</t>
  </si>
  <si>
    <t>SANTA ANA</t>
  </si>
  <si>
    <t>SANTO DOMINGO</t>
  </si>
  <si>
    <t>ZIA</t>
  </si>
  <si>
    <t>TEWA</t>
  </si>
  <si>
    <t>NAMBE</t>
  </si>
  <si>
    <t>POJOAQUE</t>
  </si>
  <si>
    <t>SAN ILDEFONSO</t>
  </si>
  <si>
    <t>SAN JUAN</t>
  </si>
  <si>
    <t>SANTA CLARA</t>
  </si>
  <si>
    <t>TESUQUE</t>
  </si>
  <si>
    <t>ARIZONA TEWA</t>
  </si>
  <si>
    <t>JEMEZ</t>
  </si>
  <si>
    <t>HOPI</t>
  </si>
  <si>
    <t>ZUNI</t>
  </si>
  <si>
    <t>SAN JUAN DE GUADALUPE TIWA</t>
  </si>
  <si>
    <t>APACHE</t>
  </si>
  <si>
    <t>KIOWA APACHE</t>
  </si>
  <si>
    <t>JICARILLA APACHE</t>
  </si>
  <si>
    <t>LIPAN APACHE</t>
  </si>
  <si>
    <t>MESCALERO APACHE</t>
  </si>
  <si>
    <t>CHIRICAHUA</t>
  </si>
  <si>
    <t>FORT SILL APACHE</t>
  </si>
  <si>
    <t>SAN CARLOS APACHE</t>
  </si>
  <si>
    <t>PAYSON APACHE</t>
  </si>
  <si>
    <t>WHITE MOUNTAIN APACHE</t>
  </si>
  <si>
    <t>NAVAJO</t>
  </si>
  <si>
    <t>KIOWA</t>
  </si>
  <si>
    <t>TONKAWA</t>
  </si>
  <si>
    <t>CADDO</t>
  </si>
  <si>
    <t>ARIKARA</t>
  </si>
  <si>
    <t>PAWNEE</t>
  </si>
  <si>
    <t>WICHITA</t>
  </si>
  <si>
    <t>SIOUX</t>
  </si>
  <si>
    <t>CHEYENNE RIVER SIOUX</t>
  </si>
  <si>
    <t>CROW CREEK SIOUX</t>
  </si>
  <si>
    <t>DEVILS LAKE SIOUX</t>
  </si>
  <si>
    <t>FLANDREAU SANTEE</t>
  </si>
  <si>
    <t>FORT PECK</t>
  </si>
  <si>
    <t>STANDING ROCK SIOUX</t>
  </si>
  <si>
    <t>LAKE TRAVERSE SIOUX</t>
  </si>
  <si>
    <t>LOWER SIOUX</t>
  </si>
  <si>
    <t>PINE RIDGE SIOUX</t>
  </si>
  <si>
    <t>PIPESTONE SIOUX</t>
  </si>
  <si>
    <t>PRAIRIE ISLAND SIOUX</t>
  </si>
  <si>
    <t>PRIOR LAKE</t>
  </si>
  <si>
    <t>ROSEBUD SIOUX</t>
  </si>
  <si>
    <t>UPPER SIOUX</t>
  </si>
  <si>
    <t>SISSETON-WAHPETON SIOUX</t>
  </si>
  <si>
    <t>TETON SIOUX</t>
  </si>
  <si>
    <t>BRULE SIOUX</t>
  </si>
  <si>
    <t>LOWER BRULE SIOUX</t>
  </si>
  <si>
    <t>SANS ARC SIOUX</t>
  </si>
  <si>
    <t>TWO KETTLE SIOUX</t>
  </si>
  <si>
    <t>BLACKFOOT SIOUX</t>
  </si>
  <si>
    <t>OGLALA SIOUX</t>
  </si>
  <si>
    <t>MINICONJOU</t>
  </si>
  <si>
    <t>YANKTONAI SIOUX</t>
  </si>
  <si>
    <t>YANKTON SIOUX</t>
  </si>
  <si>
    <t>SANTEE SIOUX</t>
  </si>
  <si>
    <t>SISSETON SIOUX</t>
  </si>
  <si>
    <t>MDEWAKANTON SIOUX</t>
  </si>
  <si>
    <t>WAHPEKUTE SIOUX</t>
  </si>
  <si>
    <t>WAHPETON SIOUX</t>
  </si>
  <si>
    <t>ASSINIBOINE</t>
  </si>
  <si>
    <t>IOWA</t>
  </si>
  <si>
    <t>OTO</t>
  </si>
  <si>
    <t>WINNEBAGO</t>
  </si>
  <si>
    <t>KAW</t>
  </si>
  <si>
    <t>OMAHA</t>
  </si>
  <si>
    <t>PONCA</t>
  </si>
  <si>
    <t>OSAGE</t>
  </si>
  <si>
    <t>QUAPAW</t>
  </si>
  <si>
    <t>CROW</t>
  </si>
  <si>
    <t>HIDATSA</t>
  </si>
  <si>
    <t>MANDAN</t>
  </si>
  <si>
    <t>COMANCHE</t>
  </si>
  <si>
    <t>DAKOTA SIOUX</t>
  </si>
  <si>
    <t>WAZHAZE SIOUX</t>
  </si>
  <si>
    <t>NEBRASKA WINNEBAGO</t>
  </si>
  <si>
    <t>WISCONSIN WINNEBAGO</t>
  </si>
  <si>
    <t>CHIPPEWA</t>
  </si>
  <si>
    <t>BAY MILLS CHIPPEWA</t>
  </si>
  <si>
    <t>SAULT STE. MARIE CHIPPEWA</t>
  </si>
  <si>
    <t>SAGINAW CHIPPEWA</t>
  </si>
  <si>
    <t>KEWEENAW</t>
  </si>
  <si>
    <t>LAC VIEUX DESERT</t>
  </si>
  <si>
    <t>ONTONAGON</t>
  </si>
  <si>
    <t>LEELANAU</t>
  </si>
  <si>
    <t>MINNESOTA CHIPPEWA</t>
  </si>
  <si>
    <t>BOISE FORTE</t>
  </si>
  <si>
    <t>GRAND PORTAGE</t>
  </si>
  <si>
    <t>FOND DU LAC</t>
  </si>
  <si>
    <t>LEECH LAKE</t>
  </si>
  <si>
    <t>MILLE LAC</t>
  </si>
  <si>
    <t>WHITE EARTH</t>
  </si>
  <si>
    <t>RED LAKE CHIPPEWA</t>
  </si>
  <si>
    <t>LAKE SUPERIOR</t>
  </si>
  <si>
    <t>BAD RIVER</t>
  </si>
  <si>
    <t>LAC COURTE OREILLES</t>
  </si>
  <si>
    <t>LAC DU FLAMBEAU</t>
  </si>
  <si>
    <t>RED CLIFF CHIPPEWA</t>
  </si>
  <si>
    <t>ST. CROIX CHIPPEWA</t>
  </si>
  <si>
    <t>SOKOAGON CHIPPEWA</t>
  </si>
  <si>
    <t>TURTLE MOUNTAIN</t>
  </si>
  <si>
    <t>ROCKY BOY'S CREE</t>
  </si>
  <si>
    <t>BURT LAKE CHIPPEWA</t>
  </si>
  <si>
    <t>BURT LAKE BAND</t>
  </si>
  <si>
    <t>BURT LAKE OTTAWA</t>
  </si>
  <si>
    <t>BLACKFOOT</t>
  </si>
  <si>
    <t>CHEYENNE</t>
  </si>
  <si>
    <t>NORTHERN CHEYENNE</t>
  </si>
  <si>
    <t>SOUTHERN CHEYENNE</t>
  </si>
  <si>
    <t>ARAPAHO</t>
  </si>
  <si>
    <t>ATSINA</t>
  </si>
  <si>
    <t>MENOMINEE</t>
  </si>
  <si>
    <t>POTAWATOMIE</t>
  </si>
  <si>
    <t>CITIZEN BAND</t>
  </si>
  <si>
    <t>FOREST COUNTY</t>
  </si>
  <si>
    <t>HANNAHVILLE</t>
  </si>
  <si>
    <t>HURON POTAWATOMI</t>
  </si>
  <si>
    <t>POGAGON POTAWATOMI</t>
  </si>
  <si>
    <t>PRAIRIE BAND</t>
  </si>
  <si>
    <t>WISCONSIN POTAWATOMI</t>
  </si>
  <si>
    <t>OTTAWA</t>
  </si>
  <si>
    <t>MIAMI</t>
  </si>
  <si>
    <t>SAC AND FOX</t>
  </si>
  <si>
    <t>PEORIA</t>
  </si>
  <si>
    <t>SAC AND FOX MESQUAKIE</t>
  </si>
  <si>
    <t>KICKAPOO</t>
  </si>
  <si>
    <t>SHAWNEE</t>
  </si>
  <si>
    <t>ALGONQUIAN</t>
  </si>
  <si>
    <t>MICMAC</t>
  </si>
  <si>
    <t>MAILSEET</t>
  </si>
  <si>
    <t>PASSAMAQUODDY</t>
  </si>
  <si>
    <t>PLEASANT POINT PASSAMAQUODDY</t>
  </si>
  <si>
    <t>INDIAN TOWNSHIP</t>
  </si>
  <si>
    <t>PENOBSCOT</t>
  </si>
  <si>
    <t>ABENAKI</t>
  </si>
  <si>
    <t>WAMPANOAG</t>
  </si>
  <si>
    <t>NIPMUC</t>
  </si>
  <si>
    <t>NARRAGANSETT</t>
  </si>
  <si>
    <t>PEQUOT</t>
  </si>
  <si>
    <t>MOHEGAN</t>
  </si>
  <si>
    <t>PAUGUSSETT</t>
  </si>
  <si>
    <t>SCHAGHTICOKE</t>
  </si>
  <si>
    <t>BROTHERTON</t>
  </si>
  <si>
    <t>SHINNECOCK</t>
  </si>
  <si>
    <t>STOCKBRIDGE</t>
  </si>
  <si>
    <t>MUNSEE</t>
  </si>
  <si>
    <t>DELAWARE</t>
  </si>
  <si>
    <t>SAND HILL</t>
  </si>
  <si>
    <t>ABSENTEE SHAWNEE</t>
  </si>
  <si>
    <t>CLIFTON CHOCTAW</t>
  </si>
  <si>
    <t>IROQUOIS</t>
  </si>
  <si>
    <t>SENECA</t>
  </si>
  <si>
    <t>SENECA NATION</t>
  </si>
  <si>
    <t>TONAWANDA SENECA</t>
  </si>
  <si>
    <t>SENECA-CAYUGA</t>
  </si>
  <si>
    <t>CAYUGA</t>
  </si>
  <si>
    <t>ONONDAGA</t>
  </si>
  <si>
    <t>ONEIDA</t>
  </si>
  <si>
    <t>MOHAWK</t>
  </si>
  <si>
    <t>TUSCARORA</t>
  </si>
  <si>
    <t>WYANDOT</t>
  </si>
  <si>
    <t>CHEROKEE</t>
  </si>
  <si>
    <t>EASTERN CHEROKEE</t>
  </si>
  <si>
    <t>WESTERN CHEROKEE</t>
  </si>
  <si>
    <t>ETOWAH CHEROKEE</t>
  </si>
  <si>
    <t>UNITED KEETOOWAH</t>
  </si>
  <si>
    <t>TUSCOLA</t>
  </si>
  <si>
    <t>NORTHERN CHEROKEE</t>
  </si>
  <si>
    <t>EASTERN MUSKOGEE</t>
  </si>
  <si>
    <t>AGUA CALIENTE</t>
  </si>
  <si>
    <t>CREEK</t>
  </si>
  <si>
    <t>THLOPTHLOCCO</t>
  </si>
  <si>
    <t>YUCHI</t>
  </si>
  <si>
    <t>HITCHITI</t>
  </si>
  <si>
    <t>EASTERN CREEK</t>
  </si>
  <si>
    <t>PRINCIPAL CREEK INDIAN NATION</t>
  </si>
  <si>
    <t>POARCH BAND</t>
  </si>
  <si>
    <t>LOWER MUSKOGEE</t>
  </si>
  <si>
    <t>ALABAMA COUSHATTA</t>
  </si>
  <si>
    <t>CHOCTAW</t>
  </si>
  <si>
    <t>HOUMA</t>
  </si>
  <si>
    <t>CHICKASAW</t>
  </si>
  <si>
    <t>MICCOSUKEE</t>
  </si>
  <si>
    <t>SEMINOLE</t>
  </si>
  <si>
    <t>OKLAHOMA SEMINOLE</t>
  </si>
  <si>
    <t>FLORIDA SEMINOLE</t>
  </si>
  <si>
    <t>BIG CYPRESS</t>
  </si>
  <si>
    <t>BRIGHTON</t>
  </si>
  <si>
    <t>HOLLYWOOD SEMINOLE</t>
  </si>
  <si>
    <t>NATCHEZ</t>
  </si>
  <si>
    <t>MATINECOCK</t>
  </si>
  <si>
    <t>MONTAUK</t>
  </si>
  <si>
    <t>POOSPATUCK</t>
  </si>
  <si>
    <t>SETAUKET</t>
  </si>
  <si>
    <t>TUCKABACHEE</t>
  </si>
  <si>
    <t>NANTICOKE</t>
  </si>
  <si>
    <t>PISCATAWAY</t>
  </si>
  <si>
    <t>NANSEMOND</t>
  </si>
  <si>
    <t>CHICKAHOMINY</t>
  </si>
  <si>
    <t>PAMUNKEY</t>
  </si>
  <si>
    <t>MATTAPONI</t>
  </si>
  <si>
    <t>RAPPAHANNOCK</t>
  </si>
  <si>
    <t>ATTACAPA</t>
  </si>
  <si>
    <t>BILOXI</t>
  </si>
  <si>
    <t>CATAWBA</t>
  </si>
  <si>
    <t>CHITIMACHA</t>
  </si>
  <si>
    <t>COHARIE</t>
  </si>
  <si>
    <t>CROATAN</t>
  </si>
  <si>
    <t>HALIWA</t>
  </si>
  <si>
    <t>LUMBEE</t>
  </si>
  <si>
    <t>POWHATAN</t>
  </si>
  <si>
    <t>TUNICA</t>
  </si>
  <si>
    <t>WESORT</t>
  </si>
  <si>
    <t>SOUTHEASTERN INDIANS</t>
  </si>
  <si>
    <t>CAJUN AMERICAN INDIAN</t>
  </si>
  <si>
    <t>COUSHATTA</t>
  </si>
  <si>
    <t>COLORADO RIVER</t>
  </si>
  <si>
    <t>DUCK VALLEY</t>
  </si>
  <si>
    <t>FALLON</t>
  </si>
  <si>
    <t>FORT BELKNAP</t>
  </si>
  <si>
    <t>FORT BERTHOLD</t>
  </si>
  <si>
    <t>FORT HALL</t>
  </si>
  <si>
    <t>FORT MCDERMITT</t>
  </si>
  <si>
    <t>FORT MCDOWELL</t>
  </si>
  <si>
    <t>COW CREEK</t>
  </si>
  <si>
    <t>GILA RIVER</t>
  </si>
  <si>
    <t>GRAND RONDE</t>
  </si>
  <si>
    <t>LOS COYOTES</t>
  </si>
  <si>
    <t>MISSION INDIANS</t>
  </si>
  <si>
    <t>MORONGO</t>
  </si>
  <si>
    <t>RENO-SPARKS</t>
  </si>
  <si>
    <t>ROUND VALLEY</t>
  </si>
  <si>
    <t>SHOALWATER</t>
  </si>
  <si>
    <t>SILETZ</t>
  </si>
  <si>
    <t>SKULL VALLEY</t>
  </si>
  <si>
    <t>SUSANVILLE</t>
  </si>
  <si>
    <t>TABLE BLUFF</t>
  </si>
  <si>
    <t>WASCOPUM</t>
  </si>
  <si>
    <t>WIND RIVER</t>
  </si>
  <si>
    <t>WINNEMUCCA</t>
  </si>
  <si>
    <t>YAVAPAI APACHE</t>
  </si>
  <si>
    <t>GROS VENTRES</t>
  </si>
  <si>
    <t>SCOTT VALLEY</t>
  </si>
  <si>
    <t>WARM SPRINGS</t>
  </si>
  <si>
    <t>SANTA ROSA</t>
  </si>
  <si>
    <t>RED WOOD</t>
  </si>
  <si>
    <t>SALISH AND KOOTENAI</t>
  </si>
  <si>
    <t>GEORGETOWN</t>
  </si>
  <si>
    <t>CLEAR LAKE</t>
  </si>
  <si>
    <t>YAKIMA COWLITZ</t>
  </si>
  <si>
    <t>SCOTTS VALLEY</t>
  </si>
  <si>
    <t>CHEYENNE ARAPAHO</t>
  </si>
  <si>
    <t>NORTHERN ARAPAHO</t>
  </si>
  <si>
    <t>SOUTHERN ARAPAHO</t>
  </si>
  <si>
    <t>MASHPEE WAMPANOAG</t>
  </si>
  <si>
    <t>GAY HEAD WAMPANOAG</t>
  </si>
  <si>
    <t>TIMBA-SHA SHOSHONE</t>
  </si>
  <si>
    <t>SAN JUAN CAPISTRANO</t>
  </si>
  <si>
    <t>OKLAHOMA CHOCTAW</t>
  </si>
  <si>
    <t>OKLAHOMA MODOC</t>
  </si>
  <si>
    <t>OKLAHOMA KIOWA</t>
  </si>
  <si>
    <t>OKLAHOMA COMANCHE</t>
  </si>
  <si>
    <t>OKLAHOMA IOWA</t>
  </si>
  <si>
    <t>CANADIAN INDIAN</t>
  </si>
  <si>
    <t>OKLAHOMA PONCA</t>
  </si>
  <si>
    <t>OKLAHOMA OTTAWA</t>
  </si>
  <si>
    <t>OKLAHOMA MIAMI</t>
  </si>
  <si>
    <t>OKLAHOMA PEORIA</t>
  </si>
  <si>
    <t>OKLAHOMA SAC AND FOX</t>
  </si>
  <si>
    <t>OKLAHOMA KICKAPOO</t>
  </si>
  <si>
    <t>OKLAHOMA DELAWARE</t>
  </si>
  <si>
    <t>MICHIGAN OTTAWA</t>
  </si>
  <si>
    <t>INDIANA MIAMI</t>
  </si>
  <si>
    <t>MISSOURI SAC AND FOX</t>
  </si>
  <si>
    <t>EASTERN SHAWNEE</t>
  </si>
  <si>
    <t>CHEROKEE SHAWNEE</t>
  </si>
  <si>
    <t>KIALEGEE</t>
  </si>
  <si>
    <t>QUASSARTE</t>
  </si>
  <si>
    <t>MALHEUR PAIUTE</t>
  </si>
  <si>
    <t>WENATCHEE</t>
  </si>
  <si>
    <t>LITTLE SHELL CHIPPEWA</t>
  </si>
  <si>
    <t>ILLINOIS</t>
  </si>
  <si>
    <t>RAMAPO</t>
  </si>
  <si>
    <t>LENNI LANAPE</t>
  </si>
  <si>
    <t>AMERICAN INDIAN WHITE</t>
  </si>
  <si>
    <t>AMERICAN INDIAN BLACK</t>
  </si>
  <si>
    <t>MEXICAN AMERICAN INDIAN</t>
  </si>
  <si>
    <t>CENTRAL AMERICAN INDIAN</t>
  </si>
  <si>
    <t>SOUTH AMERICAN INDIAN</t>
  </si>
  <si>
    <t>FRENCH AMERICAN INDIAN</t>
  </si>
  <si>
    <t>SPANISH-AMERICAN INDIAN</t>
  </si>
  <si>
    <t>CHEROKEES OF SE ALABAMA</t>
  </si>
  <si>
    <t>CHEROKEES OF NE ALABAMA</t>
  </si>
  <si>
    <t>ECHOTA CHEROKEE TRIBE</t>
  </si>
  <si>
    <t>MACHIS LOWER CREEK TRIBE</t>
  </si>
  <si>
    <t>MOWA BAND OF CHOCTAW INDIANS</t>
  </si>
  <si>
    <t>STAR CLAN OF MUSCOGEE CREEKS</t>
  </si>
  <si>
    <t>EASTERN DELAWARE</t>
  </si>
  <si>
    <t>CHEROKEE ALABAMA</t>
  </si>
  <si>
    <t>MEXICAN INDIAN CHEROKEE</t>
  </si>
  <si>
    <t>E.CHICKAHOMINY-New Kent Co</t>
  </si>
  <si>
    <t>W.CHICKAHOMINY-Charles City Co</t>
  </si>
  <si>
    <t>WACCAMAW</t>
  </si>
  <si>
    <t>NAUSU WAIWASH</t>
  </si>
  <si>
    <t>POCOMOKE ACOHONOCK</t>
  </si>
  <si>
    <t>SUSQUEHANOCK</t>
  </si>
  <si>
    <t>WICOMICO</t>
  </si>
  <si>
    <t>PIRO/SOCORRO</t>
  </si>
  <si>
    <t>ILLINOIS MIAMI</t>
  </si>
  <si>
    <t>TUNICA-BILOXI</t>
  </si>
  <si>
    <t>NATIVE AMERICAN</t>
  </si>
  <si>
    <t>TRIBAL RESPONSE, NEC</t>
  </si>
  <si>
    <t>TRIBE NOT REPORTED</t>
  </si>
  <si>
    <t>ASIAN INDIAN</t>
  </si>
  <si>
    <t>BANGLADESHI</t>
  </si>
  <si>
    <t>BHUTANESE</t>
  </si>
  <si>
    <t>BURMESE</t>
  </si>
  <si>
    <t>CHINESE/TIBETAN</t>
  </si>
  <si>
    <t>TAIWANESE</t>
  </si>
  <si>
    <t>AMERICAN FILIPINO</t>
  </si>
  <si>
    <t>HMONG</t>
  </si>
  <si>
    <t>INDONESIAN</t>
  </si>
  <si>
    <t>JAPANESE</t>
  </si>
  <si>
    <t>KOREAN</t>
  </si>
  <si>
    <t>LAOTIAN</t>
  </si>
  <si>
    <t>MALAYSIAN</t>
  </si>
  <si>
    <t>OKINAWAN</t>
  </si>
  <si>
    <t>PAKISTANI</t>
  </si>
  <si>
    <t>SRI LANKAN</t>
  </si>
  <si>
    <t>THAI</t>
  </si>
  <si>
    <t>VIETNAMESE</t>
  </si>
  <si>
    <t>AMERASIAN</t>
  </si>
  <si>
    <t>ASIAN</t>
  </si>
  <si>
    <t>ASIATIC</t>
  </si>
  <si>
    <t>EURASIAN</t>
  </si>
  <si>
    <t>MONGOLIAN</t>
  </si>
  <si>
    <t>WHELLO</t>
  </si>
  <si>
    <t>BORNEO</t>
  </si>
  <si>
    <t>CELEBESIAN</t>
  </si>
  <si>
    <t>CERNAN/CERAM</t>
  </si>
  <si>
    <t>INDO-CHINESE</t>
  </si>
  <si>
    <t>IWO JIMAN</t>
  </si>
  <si>
    <t>JAVANESE</t>
  </si>
  <si>
    <t>MALDIVIAN</t>
  </si>
  <si>
    <t>NEPALI</t>
  </si>
  <si>
    <t>SIKKIMESE</t>
  </si>
  <si>
    <t>SINGAPOREAN</t>
  </si>
  <si>
    <t>SUMATRAN</t>
  </si>
  <si>
    <t>MADAGASCAR</t>
  </si>
  <si>
    <t>FILIPINO/HAWAIIAN</t>
  </si>
  <si>
    <t>NATIVE HAWAIIAN</t>
  </si>
  <si>
    <t>PART HAWAIIAN</t>
  </si>
  <si>
    <t>SAMOAN</t>
  </si>
  <si>
    <t>TAHITIAN</t>
  </si>
  <si>
    <t>TONGAN</t>
  </si>
  <si>
    <t>POLYNESIAN</t>
  </si>
  <si>
    <t>TOKELAU ISLANDER</t>
  </si>
  <si>
    <t>AMERICAN GUAMANIAN</t>
  </si>
  <si>
    <t>MARIANA ISLANDER</t>
  </si>
  <si>
    <t>MARSHALL ISLANDER</t>
  </si>
  <si>
    <t>PALAU ISLANDER</t>
  </si>
  <si>
    <t>BIKINI ISLANDER</t>
  </si>
  <si>
    <t>CAROLINE ISLANDER</t>
  </si>
  <si>
    <t>ENIWETOK ISLANDER</t>
  </si>
  <si>
    <t>KOSRAEAN</t>
  </si>
  <si>
    <t>KWAJALEIN ISLANDER</t>
  </si>
  <si>
    <t>MICRONESIAN</t>
  </si>
  <si>
    <t>PONAPE ISLANDER</t>
  </si>
  <si>
    <t>SAIPAN ISLANDER</t>
  </si>
  <si>
    <t>TARAWA ISLANDER</t>
  </si>
  <si>
    <t>TINIAN ISLANDER</t>
  </si>
  <si>
    <t>TRUK ISLANDER</t>
  </si>
  <si>
    <t>YAPESE</t>
  </si>
  <si>
    <t>FIJIAN</t>
  </si>
  <si>
    <t>MELANESIAN</t>
  </si>
  <si>
    <t>PAPUA NEW GUINEAN</t>
  </si>
  <si>
    <t>SOLOMON ISLANDER</t>
  </si>
  <si>
    <t>NEW HEBRIDES ISLANDER</t>
  </si>
  <si>
    <t>PACIFIC ISLANDER</t>
  </si>
  <si>
    <t>ARGENTINIAN</t>
  </si>
  <si>
    <t>BOLIVIAN</t>
  </si>
  <si>
    <t>BORINQUENO/BORINQUENA</t>
  </si>
  <si>
    <t>CALIFORNIO</t>
  </si>
  <si>
    <t>CENTRAL AMERICAN</t>
  </si>
  <si>
    <t>CHICANO/CHICANA</t>
  </si>
  <si>
    <t>CHILEAN</t>
  </si>
  <si>
    <t>COLOMBIAN</t>
  </si>
  <si>
    <t>COSTA RICAN</t>
  </si>
  <si>
    <t>CUBAN</t>
  </si>
  <si>
    <t>DOMINICAN</t>
  </si>
  <si>
    <t>ECUATORIAN</t>
  </si>
  <si>
    <t>EL SALVADORIAN</t>
  </si>
  <si>
    <t>GALAPAGOS ISLANDER</t>
  </si>
  <si>
    <t>GUAJIRO/GUAJIRA</t>
  </si>
  <si>
    <t>GUATEMALAN</t>
  </si>
  <si>
    <t>HISPANIC</t>
  </si>
  <si>
    <t>HONDURAN</t>
  </si>
  <si>
    <t>LA RAZA</t>
  </si>
  <si>
    <t>LATINO/LATINA</t>
  </si>
  <si>
    <t>MESTIZO/MESTIZA</t>
  </si>
  <si>
    <t>MEXICAN</t>
  </si>
  <si>
    <t>NICARAGUAN</t>
  </si>
  <si>
    <t>PANAMANIAN</t>
  </si>
  <si>
    <t>PARAGUAYAN</t>
  </si>
  <si>
    <t>PERUVIAN</t>
  </si>
  <si>
    <t>PUERTO RICAN</t>
  </si>
  <si>
    <t>MORENA</t>
  </si>
  <si>
    <t>SOUTH AMERICAN</t>
  </si>
  <si>
    <t>SPANISH</t>
  </si>
  <si>
    <t>SPANISH-AMERICAN</t>
  </si>
  <si>
    <t>SPANISH-MEXICAN</t>
  </si>
  <si>
    <t>SUDAMERICANO/SUDAMERICANA</t>
  </si>
  <si>
    <t>URUGUAYAN</t>
  </si>
  <si>
    <t>VENEZUELAN</t>
  </si>
  <si>
    <t>GUAMANIAN/CHAMORRO</t>
  </si>
  <si>
    <t>OTHER - HISPANIC</t>
  </si>
  <si>
    <t>NUEVO MEXICANO</t>
  </si>
  <si>
    <t>TEJANO</t>
  </si>
  <si>
    <t>OTHER RACE, N.E.C.</t>
  </si>
  <si>
    <t>WHITE</t>
  </si>
  <si>
    <t>UNITED ARAB REPUBLIC/EMIRATES</t>
  </si>
  <si>
    <t>ENGLISH</t>
  </si>
  <si>
    <t>FRENCH</t>
  </si>
  <si>
    <t>GERMAN</t>
  </si>
  <si>
    <t>IRISH</t>
  </si>
  <si>
    <t>ITALIAN</t>
  </si>
  <si>
    <t>POLISH</t>
  </si>
  <si>
    <t>SCOTTISH</t>
  </si>
  <si>
    <t>WHITE AND BLACK</t>
  </si>
  <si>
    <t>WHITE INDIAN</t>
  </si>
  <si>
    <t>WHITE CHINESE</t>
  </si>
  <si>
    <t>WHITE FORMOSAN/TAIWANESE</t>
  </si>
  <si>
    <t>WHITE FILIPINO</t>
  </si>
  <si>
    <t>WHITE HAWAIIAN</t>
  </si>
  <si>
    <t>WHITE KOREAN</t>
  </si>
  <si>
    <t>WHITE VIETNAMESE</t>
  </si>
  <si>
    <t>WHITE JAPANESE</t>
  </si>
  <si>
    <t>WHITE ASIAN INDIAN</t>
  </si>
  <si>
    <t>WHITE SAMOAN</t>
  </si>
  <si>
    <t>WHITE GUAMANIAN</t>
  </si>
  <si>
    <t>WHITE BANGLADESHI</t>
  </si>
  <si>
    <t>WHITE BURMESE</t>
  </si>
  <si>
    <t>WHITE CAMBODIAN</t>
  </si>
  <si>
    <t>WHITE HMONG</t>
  </si>
  <si>
    <t>WHITE INDONESIAN</t>
  </si>
  <si>
    <t>WHITE LAOTIAN</t>
  </si>
  <si>
    <t>WHITE MALAYAN</t>
  </si>
  <si>
    <t>WHITE OKINAWAN</t>
  </si>
  <si>
    <t>WHITE PAKISTANI</t>
  </si>
  <si>
    <t>WHITE SRI LANKAN</t>
  </si>
  <si>
    <t>WHITE THAI</t>
  </si>
  <si>
    <t>WHITE FIJIAN</t>
  </si>
  <si>
    <t>WHITE PALAUAN</t>
  </si>
  <si>
    <t>WHITE TAHITIAN</t>
  </si>
  <si>
    <t>WHITE TONGAN</t>
  </si>
  <si>
    <t>WHITE OTHER API</t>
  </si>
  <si>
    <t>WHITE ESKIMO</t>
  </si>
  <si>
    <t>WHITE ALEUT</t>
  </si>
  <si>
    <t>BLACK</t>
  </si>
  <si>
    <t>AFRICAN</t>
  </si>
  <si>
    <t>AFRICAN AMERICAN</t>
  </si>
  <si>
    <t>AFRO-AMERICAN</t>
  </si>
  <si>
    <t>NIGRITIAN</t>
  </si>
  <si>
    <t>BLACK AND WHITE</t>
  </si>
  <si>
    <t>BLACK AMERIND</t>
  </si>
  <si>
    <t>BLACK CHINESE</t>
  </si>
  <si>
    <t>BLACK FORMOSAN/TAIWANESE</t>
  </si>
  <si>
    <t>BLACK FILIPINO</t>
  </si>
  <si>
    <t>BLACK HAWAIIAN</t>
  </si>
  <si>
    <t>BLACK KOREAN</t>
  </si>
  <si>
    <t>BLACK VIETNAMESE</t>
  </si>
  <si>
    <t>BLACK JAPANESE</t>
  </si>
  <si>
    <t>BLACK ASIAN INDIAN</t>
  </si>
  <si>
    <t>BLACK SAMOAN</t>
  </si>
  <si>
    <t>BLACK GUAMANIAN</t>
  </si>
  <si>
    <t>BLACK BANGLADESHI</t>
  </si>
  <si>
    <t>BLACK BURMESE</t>
  </si>
  <si>
    <t>BLACK CAMBODIAN</t>
  </si>
  <si>
    <t>BLACK HMONG</t>
  </si>
  <si>
    <t>BLACK INDONESIAN</t>
  </si>
  <si>
    <t>BLACK LAOTIAN</t>
  </si>
  <si>
    <t>BLACK MALAYAN</t>
  </si>
  <si>
    <t>BLACK OKINAWAN</t>
  </si>
  <si>
    <t>BLACK PAKISTANI</t>
  </si>
  <si>
    <t>BLACK SRI LANKAN</t>
  </si>
  <si>
    <t>BLACK THAI</t>
  </si>
  <si>
    <t>BLACK FIJIAN</t>
  </si>
  <si>
    <t>BLACK PALAUAN</t>
  </si>
  <si>
    <t>BLACK TAHITIAN</t>
  </si>
  <si>
    <t>BLACK TONGAN</t>
  </si>
  <si>
    <t>BLACK OTHER API</t>
  </si>
  <si>
    <t>BLACK ESKIMO</t>
  </si>
  <si>
    <t>BLACK ALEUT</t>
  </si>
  <si>
    <t>BLACK/ASIAN(S)</t>
  </si>
  <si>
    <t>ESKIMO</t>
  </si>
  <si>
    <t>WALES</t>
  </si>
  <si>
    <t>ALEUT</t>
  </si>
  <si>
    <t>Other Asian Or Pac Islander</t>
  </si>
  <si>
    <t>NORTH AMERICAN</t>
  </si>
  <si>
    <t>HOMO SAPIEN</t>
  </si>
  <si>
    <t>DOES NOT RESPOND</t>
  </si>
  <si>
    <t>ENDORSEMENT CODE</t>
  </si>
  <si>
    <t>ENDORSEMENT NAME</t>
  </si>
  <si>
    <t>ON STREET INSTRUCTION ONLY</t>
  </si>
  <si>
    <t>TRAFFIC SAFETY EDUCATION</t>
  </si>
  <si>
    <t>DESIGNATED ARTS: DANCE</t>
  </si>
  <si>
    <t>DESIGNATED ARTS: VISUAL ARTS</t>
  </si>
  <si>
    <t>DESIGNATED ARTS: MUSIC: GENERAL</t>
  </si>
  <si>
    <t>HEALTH/FITNESS</t>
  </si>
  <si>
    <t>LIBRARY MEDIA</t>
  </si>
  <si>
    <t>SPECIAL EDUCATION</t>
  </si>
  <si>
    <t>READING</t>
  </si>
  <si>
    <t>ENGLISH AS A SECOND LANGUAGE</t>
  </si>
  <si>
    <t>BILINGUAL EDUCATION</t>
  </si>
  <si>
    <t>DESIGNATED ARTS: MUSIC: CHORAL</t>
  </si>
  <si>
    <t>DESIGNATED ARTS: MUSIC: INSTRUMENTAL</t>
  </si>
  <si>
    <t>CHINESE</t>
  </si>
  <si>
    <t>LATIN</t>
  </si>
  <si>
    <t>RUSSIAN</t>
  </si>
  <si>
    <t>SWEDISH</t>
  </si>
  <si>
    <t>NORWEGIAN</t>
  </si>
  <si>
    <t>ENGLISH LANGUAGE LEARNER</t>
  </si>
  <si>
    <t>AFRIKAANS</t>
  </si>
  <si>
    <t>BULGARIAN</t>
  </si>
  <si>
    <t>ROMANIAN</t>
  </si>
  <si>
    <t>UKRAINIAN</t>
  </si>
  <si>
    <t>SPECIALTY: DEAF EDUCATION</t>
  </si>
  <si>
    <t>ELEMENTARY EDUCATION</t>
  </si>
  <si>
    <t>MIDDLE LEVEL - HUMANITIES</t>
  </si>
  <si>
    <t>MIDDLE LEVEL MATH/SCIENCE</t>
  </si>
  <si>
    <t>MIDDLE LEVEL MATHEMATICS</t>
  </si>
  <si>
    <t>MIDDLE LEVEL SCIENCE</t>
  </si>
  <si>
    <t>EARLY CHILDHOOD SPECIAL EDUCATION</t>
  </si>
  <si>
    <t>EARLY CHILDHOOD EDUCATION</t>
  </si>
  <si>
    <t>ENGLISH LANGUAGE ARTS</t>
  </si>
  <si>
    <t>DESIGNATED ARTS: THEATRE ARTS</t>
  </si>
  <si>
    <t>SCIENCE</t>
  </si>
  <si>
    <t>DESIGNATED SCIENCE: BIOLOGY</t>
  </si>
  <si>
    <t>DESIGNATED SCIENCE: CHEMISTRY</t>
  </si>
  <si>
    <t>DESIGNATED SCIENCE: EARTH SCIENCE</t>
  </si>
  <si>
    <t>DESIGNATED SCIENCE: PHYSICS</t>
  </si>
  <si>
    <t>DESIGNATED SCIENCE: EARTH AND SPACE SCIENCE</t>
  </si>
  <si>
    <t>SOCIAL STUDIES</t>
  </si>
  <si>
    <t>HISTORY</t>
  </si>
  <si>
    <t>MATHEMATICS</t>
  </si>
  <si>
    <t>LUSHOOTSEED/SNOHOMISH</t>
  </si>
  <si>
    <t>LUSHOOTSEEK-SAUK SUIATTLE</t>
  </si>
  <si>
    <t>BUSINESS AND MARKETING EDUCATION</t>
  </si>
  <si>
    <t>SPECIALTY: GIFTED AND TALENTED</t>
  </si>
  <si>
    <t>SPECIALTY: VISUALLY IMPAIRED</t>
  </si>
  <si>
    <t>SPECIALTY: ORIENTATION AND MOBILITY</t>
  </si>
  <si>
    <t>KAZAKH</t>
  </si>
  <si>
    <t>BELARUSIAN</t>
  </si>
  <si>
    <t>PORTUGUESE</t>
  </si>
  <si>
    <t>SPECIALTY: ENVIRONMENTAL SUSTAINABILITY</t>
  </si>
  <si>
    <t>COASTAL SALISH</t>
  </si>
  <si>
    <t>KALISPEL SALISH</t>
  </si>
  <si>
    <t>ARABIC</t>
  </si>
  <si>
    <t>GREEK</t>
  </si>
  <si>
    <t>SPECIALITY: ELEMENTARY MATHEMATICS SPECIALIST</t>
  </si>
  <si>
    <t>AMERICAN SIGN LANGUAGE</t>
  </si>
  <si>
    <t>HINDI</t>
  </si>
  <si>
    <t>COMPUTER SCIENCE</t>
  </si>
  <si>
    <t>MUCKLESHOOT CULTURE</t>
  </si>
  <si>
    <t>PILIPINO</t>
  </si>
  <si>
    <t>YAKIMA-SAHAPTIN</t>
  </si>
  <si>
    <t>HUNGARIAN</t>
  </si>
  <si>
    <t>FINNISH</t>
  </si>
  <si>
    <t>NSELXCIN</t>
  </si>
  <si>
    <t>Agricultural education</t>
  </si>
  <si>
    <t>Business and marketing education</t>
  </si>
  <si>
    <t>Business education (last issued ~2010)</t>
  </si>
  <si>
    <t>Marketing education (last issued ~2010)</t>
  </si>
  <si>
    <t>Technology education</t>
  </si>
  <si>
    <t>Family and consumer sciences</t>
  </si>
  <si>
    <t>CTE Plan 1 Endorsements</t>
  </si>
  <si>
    <t>CODE</t>
  </si>
  <si>
    <t>Assessment Code Tables</t>
  </si>
  <si>
    <t>https://docs.google.com/spreadsheets/d/1y6jNmsGK7RIoSjDqltk3_sj_K3JAuEXvQ2v88sryFSI/edit#gid=4</t>
  </si>
  <si>
    <t>Aberdeen School District</t>
  </si>
  <si>
    <t>A J West Elementary</t>
  </si>
  <si>
    <t>Elementary School</t>
  </si>
  <si>
    <t>Central Park Elementary</t>
  </si>
  <si>
    <t>Grays Harbor Academy</t>
  </si>
  <si>
    <t>Other</t>
  </si>
  <si>
    <t>Grays Harbor Juvenile Detention</t>
  </si>
  <si>
    <t>Harbor High School</t>
  </si>
  <si>
    <t>High School</t>
  </si>
  <si>
    <t>Hopkins Elementary</t>
  </si>
  <si>
    <t>PK Only</t>
  </si>
  <si>
    <t>J M Weatherwax High School</t>
  </si>
  <si>
    <t>McDermoth Elementary</t>
  </si>
  <si>
    <t>Miller Junior High</t>
  </si>
  <si>
    <t>Middle School</t>
  </si>
  <si>
    <t>Robert Gray Elementary</t>
  </si>
  <si>
    <t>Stevens Elementary School</t>
  </si>
  <si>
    <t>Twin Harbors - A Branch of New Market Skills Center</t>
  </si>
  <si>
    <t>Adna School District</t>
  </si>
  <si>
    <t>Adna Elementary School</t>
  </si>
  <si>
    <t>Adna Middle/High School</t>
  </si>
  <si>
    <t>Almira School District</t>
  </si>
  <si>
    <t>Almira Elementary School</t>
  </si>
  <si>
    <t>Anacortes School District</t>
  </si>
  <si>
    <t>Anacortes High School</t>
  </si>
  <si>
    <t>Anacortes Middle School</t>
  </si>
  <si>
    <t>Cap Sante High School</t>
  </si>
  <si>
    <t>Fidalgo Elementary</t>
  </si>
  <si>
    <t>Island View Elementary</t>
  </si>
  <si>
    <t>Mount Erie Elementary</t>
  </si>
  <si>
    <t>Whitney Elementary Anacortes</t>
  </si>
  <si>
    <t>Arlington School District</t>
  </si>
  <si>
    <t>Arlington High School</t>
  </si>
  <si>
    <t>Arlington Open Doors</t>
  </si>
  <si>
    <t>Arlington Special Educ School</t>
  </si>
  <si>
    <t>PK-12</t>
  </si>
  <si>
    <t>Eagle Creek Elementary</t>
  </si>
  <si>
    <t>Haller Middle School</t>
  </si>
  <si>
    <t>Kent Prairie Elementary</t>
  </si>
  <si>
    <t>Pioneer Elementary</t>
  </si>
  <si>
    <t>Post Middle School</t>
  </si>
  <si>
    <t>Presidents Elementary</t>
  </si>
  <si>
    <t>Stillaguamish Valley Learning Center</t>
  </si>
  <si>
    <t>K-12</t>
  </si>
  <si>
    <t>Weston High School</t>
  </si>
  <si>
    <t>Asotin-Anatone School District</t>
  </si>
  <si>
    <t>Asotin Elementary</t>
  </si>
  <si>
    <t>Asotin Jr Sr High</t>
  </si>
  <si>
    <t>Auburn School District</t>
  </si>
  <si>
    <t>Alpac Elementary School</t>
  </si>
  <si>
    <t>Arthur Jacobsen Elementary</t>
  </si>
  <si>
    <t>Auburn Mountainview High School</t>
  </si>
  <si>
    <t>Auburn Opportunity Project</t>
  </si>
  <si>
    <t>Auburn Riverside High School</t>
  </si>
  <si>
    <t>Auburn Senior High School</t>
  </si>
  <si>
    <t>Cascade Middle School</t>
  </si>
  <si>
    <t>Chinook Elementary School</t>
  </si>
  <si>
    <t>Dick Scobee Elementary School</t>
  </si>
  <si>
    <t>Evergreen Heights Elementary</t>
  </si>
  <si>
    <t>Gildo Rey Elementary School</t>
  </si>
  <si>
    <t>Hazelwood Elementary School</t>
  </si>
  <si>
    <t>Ilalko Elementary School</t>
  </si>
  <si>
    <t>Lake View Elementary School</t>
  </si>
  <si>
    <t>Lakeland Hills Elementary</t>
  </si>
  <si>
    <t>Lea Hill Elementary School</t>
  </si>
  <si>
    <t>Mt Baker Middle School</t>
  </si>
  <si>
    <t>Olympic Middle School</t>
  </si>
  <si>
    <t>Pioneer Elementary School</t>
  </si>
  <si>
    <t>Rainier Middle School</t>
  </si>
  <si>
    <t>Special Ed School</t>
  </si>
  <si>
    <t>Terminal Park Elementary School</t>
  </si>
  <si>
    <t>Washington Elementary School</t>
  </si>
  <si>
    <t>West Auburn Senior High School</t>
  </si>
  <si>
    <t>Bainbridge Island School District</t>
  </si>
  <si>
    <t>Bainbridge High School</t>
  </si>
  <si>
    <t>Bainbridge Special Education Services</t>
  </si>
  <si>
    <t>Capt Johnston Blakely Elem Sch</t>
  </si>
  <si>
    <t>Capt. Charles Wilkes Elem School</t>
  </si>
  <si>
    <t>Eagle Harbor High School</t>
  </si>
  <si>
    <t>Mosaic Home Education Partnership</t>
  </si>
  <si>
    <t>Odyssey Multiage Program</t>
  </si>
  <si>
    <t>Ordway Elementary</t>
  </si>
  <si>
    <t>Sakai Intermediate</t>
  </si>
  <si>
    <t>Woodward Middle School</t>
  </si>
  <si>
    <t>Bates Technical College</t>
  </si>
  <si>
    <t>Bates Technical College - Open Doors</t>
  </si>
  <si>
    <t>Bates Technical High School</t>
  </si>
  <si>
    <t>Battle Ground School District</t>
  </si>
  <si>
    <t>Amboy Middle School</t>
  </si>
  <si>
    <t>Battle Ground High School</t>
  </si>
  <si>
    <t>CAM Academy</t>
  </si>
  <si>
    <t>Captain Strong</t>
  </si>
  <si>
    <t>Chief Umtuch Middle</t>
  </si>
  <si>
    <t>Daybreak Middle</t>
  </si>
  <si>
    <t>Daybreak Primary</t>
  </si>
  <si>
    <t>Daybreak Youth Services</t>
  </si>
  <si>
    <t>Glenwood Heights Primary</t>
  </si>
  <si>
    <t>Homelink River</t>
  </si>
  <si>
    <t>Laurin Middle School</t>
  </si>
  <si>
    <t>Maple Grove K-8</t>
  </si>
  <si>
    <t>Open Doors Battle Ground</t>
  </si>
  <si>
    <t>Pleasant Valley Middle</t>
  </si>
  <si>
    <t>Pleasant Valley Primary</t>
  </si>
  <si>
    <t>Prairie High School</t>
  </si>
  <si>
    <t>Preschool Infant Other</t>
  </si>
  <si>
    <t>Summit View High School</t>
  </si>
  <si>
    <t>Tukes Valley Middle School</t>
  </si>
  <si>
    <t xml:space="preserve">Tukes Valley Primary </t>
  </si>
  <si>
    <t>Yacolt Primary</t>
  </si>
  <si>
    <t>Bellevue School District</t>
  </si>
  <si>
    <t>Ardmore Elementary School</t>
  </si>
  <si>
    <t>Bellevue Big Picture School</t>
  </si>
  <si>
    <t>Bellevue High School</t>
  </si>
  <si>
    <t>Bennett Elementary School</t>
  </si>
  <si>
    <t>Central Educational Services</t>
  </si>
  <si>
    <t>Cherry Crest Elementary School</t>
  </si>
  <si>
    <t>Chinook Middle School</t>
  </si>
  <si>
    <t>Clyde Hill Elementary</t>
  </si>
  <si>
    <t>Eastgate Elementary School</t>
  </si>
  <si>
    <t>Enatai Elementary School</t>
  </si>
  <si>
    <t>Grad Alliance Program</t>
  </si>
  <si>
    <t>Highland Middle School</t>
  </si>
  <si>
    <t>Interlake Senior High School</t>
  </si>
  <si>
    <t>International School</t>
  </si>
  <si>
    <t>Jing Mei Elementary School</t>
  </si>
  <si>
    <t>Lake Hills Elementary</t>
  </si>
  <si>
    <t>Medina Elementary School</t>
  </si>
  <si>
    <t>Newport Heights Elementary</t>
  </si>
  <si>
    <t>Newport Senior High School</t>
  </si>
  <si>
    <t>Odle Middle School</t>
  </si>
  <si>
    <t>Phantom Lake Elementary</t>
  </si>
  <si>
    <t>Puesta del Sol Elementary School</t>
  </si>
  <si>
    <t>Sammamish Senior High</t>
  </si>
  <si>
    <t>Sherwood Forest Elementary</t>
  </si>
  <si>
    <t>Somerset Elementary School</t>
  </si>
  <si>
    <t>Spiritridge Elementary School</t>
  </si>
  <si>
    <t>Stevenson Elementary</t>
  </si>
  <si>
    <t>Tillicum Middle School</t>
  </si>
  <si>
    <t>Tyee Middle School</t>
  </si>
  <si>
    <t>Wilburton Elementary School</t>
  </si>
  <si>
    <t>Woodridge Elementary</t>
  </si>
  <si>
    <t>Bellingham School District</t>
  </si>
  <si>
    <t>Alderwood Elementary School</t>
  </si>
  <si>
    <t>Bellingham Family Partnership Program</t>
  </si>
  <si>
    <t>Bellingham High School</t>
  </si>
  <si>
    <t>Bellingham Re-Engagement Program</t>
  </si>
  <si>
    <t>Birchwood Elementary School</t>
  </si>
  <si>
    <t>Carl Cozier Elementary School</t>
  </si>
  <si>
    <t>Columbia Elementary School</t>
  </si>
  <si>
    <t>Cordata Elementary School</t>
  </si>
  <si>
    <t>Fairhaven Middle School</t>
  </si>
  <si>
    <t>Geneva Elementary School</t>
  </si>
  <si>
    <t>Happy Valley Elementary School</t>
  </si>
  <si>
    <t>Kulshan Middle School</t>
  </si>
  <si>
    <t xml:space="preserve">Lowell Elementary School </t>
  </si>
  <si>
    <t>Northern Heights Elementary Schl</t>
  </si>
  <si>
    <t>Options High School</t>
  </si>
  <si>
    <t>Parkview Elementary School</t>
  </si>
  <si>
    <t>Roosevelt Elementary School</t>
  </si>
  <si>
    <t>Sehome High School</t>
  </si>
  <si>
    <t>Shuksan Middle School</t>
  </si>
  <si>
    <t>Silver Beach Elementary School</t>
  </si>
  <si>
    <t>Squalicum High School</t>
  </si>
  <si>
    <t>Sunnyland Elementary School</t>
  </si>
  <si>
    <t>Visions (Seamar Youth Center)</t>
  </si>
  <si>
    <t>Wade King Elementary School</t>
  </si>
  <si>
    <t>Whatcom Middle School</t>
  </si>
  <si>
    <t>Benge School District</t>
  </si>
  <si>
    <t>Benge Elementary</t>
  </si>
  <si>
    <t>Bethel School District</t>
  </si>
  <si>
    <t>Acceleration Academy</t>
  </si>
  <si>
    <t>Bethel Elementary Learning Academy</t>
  </si>
  <si>
    <t>Bethel High School</t>
  </si>
  <si>
    <t>Bethel Middle School</t>
  </si>
  <si>
    <t>Camas Prairie Elementary</t>
  </si>
  <si>
    <t>Cedarcrest Middle School</t>
  </si>
  <si>
    <t>Centennial Elementary Bethel</t>
  </si>
  <si>
    <t>Challenger High School</t>
  </si>
  <si>
    <t>Chester H Thompson Elementary</t>
  </si>
  <si>
    <t>Clover Creek Elementary</t>
  </si>
  <si>
    <t>Cougar Mountain Middle School</t>
  </si>
  <si>
    <t>Elk Plain Head Start</t>
  </si>
  <si>
    <t>Elk Plain School of Choice</t>
  </si>
  <si>
    <t>Evergreen Elementary</t>
  </si>
  <si>
    <t>Frederickson Elementary</t>
  </si>
  <si>
    <t>Frontier Middle School</t>
  </si>
  <si>
    <t>Graham Elementary</t>
  </si>
  <si>
    <t>Graham Kapowsin High School</t>
  </si>
  <si>
    <t>Kapowsin Elementary</t>
  </si>
  <si>
    <t>Liberty Middle School</t>
  </si>
  <si>
    <t>Jr High</t>
  </si>
  <si>
    <t>Naches Trail Elementary</t>
  </si>
  <si>
    <t>Nelson Elementary School</t>
  </si>
  <si>
    <t>North Star Elementary</t>
  </si>
  <si>
    <t>Pierce County Skills Center</t>
  </si>
  <si>
    <t>Pioneer Valley Elementary</t>
  </si>
  <si>
    <t>Rocky Ridge Elementary</t>
  </si>
  <si>
    <t>Roy Elementary</t>
  </si>
  <si>
    <t>Shining Mountain Elementary</t>
  </si>
  <si>
    <t>Spanaway Elementary</t>
  </si>
  <si>
    <t>Spanaway Lake High School</t>
  </si>
  <si>
    <t>Spanaway Middle School</t>
  </si>
  <si>
    <t>Thompson Preschool</t>
  </si>
  <si>
    <t>Bickleton School District</t>
  </si>
  <si>
    <t>Bickleton Elementary &amp; High Schl</t>
  </si>
  <si>
    <t>Blaine School District</t>
  </si>
  <si>
    <t>Blaine Elementary School</t>
  </si>
  <si>
    <t>Blaine High School</t>
  </si>
  <si>
    <t>Blaine Home Connections</t>
  </si>
  <si>
    <t>Blaine Middle School</t>
  </si>
  <si>
    <t>Blaine Primary School</t>
  </si>
  <si>
    <t>Blaine Re-Engagement</t>
  </si>
  <si>
    <t>Point Roberts Primary</t>
  </si>
  <si>
    <t>Boistfort School District</t>
  </si>
  <si>
    <t>Boistfort Elem</t>
  </si>
  <si>
    <t>Bremerton School District</t>
  </si>
  <si>
    <t>Armin Jahr Elementary</t>
  </si>
  <si>
    <t>Bremerton High School</t>
  </si>
  <si>
    <t>Bremerton Home Link Program</t>
  </si>
  <si>
    <t>Career &amp; Academic Re-engagement Center</t>
  </si>
  <si>
    <t>Crownhill Elementary School</t>
  </si>
  <si>
    <t>Kitsap Lake Elementary</t>
  </si>
  <si>
    <t>Morgan Center School</t>
  </si>
  <si>
    <t>Mountain View Middle School</t>
  </si>
  <si>
    <t>Naval Avenue Elementary School</t>
  </si>
  <si>
    <t>Renaissance Alternative High School</t>
  </si>
  <si>
    <t>Special Services</t>
  </si>
  <si>
    <t>View Ridge Elementary Arts Academy</t>
  </si>
  <si>
    <t>West Hills S.T.E.M. Academy</t>
  </si>
  <si>
    <t>West Sound Technical Skills Center</t>
  </si>
  <si>
    <t>Brewster School District</t>
  </si>
  <si>
    <t>Brewster Alternative School</t>
  </si>
  <si>
    <t>Brewster Elementary School</t>
  </si>
  <si>
    <t>Brewster High School</t>
  </si>
  <si>
    <t>Brewster Middle School</t>
  </si>
  <si>
    <t>Bridgeport School District</t>
  </si>
  <si>
    <t>Bridgeport Aurora High School</t>
  </si>
  <si>
    <t>Bridgeport Elementary</t>
  </si>
  <si>
    <t>Bridgeport High School</t>
  </si>
  <si>
    <t>Bridgeport Middle School</t>
  </si>
  <si>
    <t>Brinnon School District</t>
  </si>
  <si>
    <t>Brinnon Elementary</t>
  </si>
  <si>
    <t>Burlington-Edison School District</t>
  </si>
  <si>
    <t>Allen Elementary</t>
  </si>
  <si>
    <t>Bay View Elementary</t>
  </si>
  <si>
    <t>BECC</t>
  </si>
  <si>
    <t>Burlington Edison High School</t>
  </si>
  <si>
    <t>Burlington-Edison Alternative School</t>
  </si>
  <si>
    <t>Edison Elementary - Burlington/Edison</t>
  </si>
  <si>
    <t>Lucille Umbarger Elementary</t>
  </si>
  <si>
    <t>Open Doors</t>
  </si>
  <si>
    <t>West View Elementary</t>
  </si>
  <si>
    <t>Camas School District</t>
  </si>
  <si>
    <t>Camas High School</t>
  </si>
  <si>
    <t>Camas School District Open Doors</t>
  </si>
  <si>
    <t>Discovery High School</t>
  </si>
  <si>
    <t>Dorothy Fox</t>
  </si>
  <si>
    <t>Grass Valley Elementary</t>
  </si>
  <si>
    <t>Hayes Freedom High School</t>
  </si>
  <si>
    <t>Helen Baller Elem</t>
  </si>
  <si>
    <t>Lacamas Lake Elementary</t>
  </si>
  <si>
    <t>Odyssey Middle School</t>
  </si>
  <si>
    <t>Papermaker Preschool</t>
  </si>
  <si>
    <t>Prune Hill Elem</t>
  </si>
  <si>
    <t>Skyridge Middle School</t>
  </si>
  <si>
    <t>Woodburn Elementary</t>
  </si>
  <si>
    <t>Cape Flattery School District</t>
  </si>
  <si>
    <t>Cape Flattery Preschool</t>
  </si>
  <si>
    <t>Clallam Bay High &amp; Elementary</t>
  </si>
  <si>
    <t>Neah Bay Elementary School</t>
  </si>
  <si>
    <t>Neah Bay Junior/ Senior High School</t>
  </si>
  <si>
    <t>Capital Region ESD 113</t>
  </si>
  <si>
    <t>GRAVITY High School</t>
  </si>
  <si>
    <t>Carbonado School District</t>
  </si>
  <si>
    <t>Carbonado Historical School 19</t>
  </si>
  <si>
    <t>Cascade School District</t>
  </si>
  <si>
    <t>Alpine Lakes Elementary</t>
  </si>
  <si>
    <t>Beaver Valley School</t>
  </si>
  <si>
    <t>Cascade High School</t>
  </si>
  <si>
    <t>Cascade Home-Link</t>
  </si>
  <si>
    <t>Icicle River Middle School</t>
  </si>
  <si>
    <t>Peshastin Dryden Elementary in Leavenworth</t>
  </si>
  <si>
    <t>CASHMERE SCHOOL DISTRICT</t>
  </si>
  <si>
    <t>CASHMERE HIGH SCHOOL</t>
  </si>
  <si>
    <t>CASHMERE MIDDLE SCHOOL</t>
  </si>
  <si>
    <t>VALE ELEMENTARY SCHOOL</t>
  </si>
  <si>
    <t>Castle Rock School District</t>
  </si>
  <si>
    <t>Castle Rock Elementary</t>
  </si>
  <si>
    <t>Castle Rock High School</t>
  </si>
  <si>
    <t>Castle Rock Middle School</t>
  </si>
  <si>
    <t>Centerville School District</t>
  </si>
  <si>
    <t>Centerville Elementary</t>
  </si>
  <si>
    <t>Central Kitsap School District</t>
  </si>
  <si>
    <t>Barker Creek Community School</t>
  </si>
  <si>
    <t>Brownsville Elementary</t>
  </si>
  <si>
    <t>Central Kitsap High School</t>
  </si>
  <si>
    <t>Central Kitsap Middle School</t>
  </si>
  <si>
    <t>Clear Creek Elementary School</t>
  </si>
  <si>
    <t>Cottonwood Elementary School</t>
  </si>
  <si>
    <t>Cougar Valley Elementary</t>
  </si>
  <si>
    <t>Emerald Heights Elementary</t>
  </si>
  <si>
    <t>Esquire Hills Elementary</t>
  </si>
  <si>
    <t>Fairview Middle School</t>
  </si>
  <si>
    <t>Green Mountain Elementary</t>
  </si>
  <si>
    <t>John D. Bud Hawk Elementary at Jackson Park</t>
  </si>
  <si>
    <t>Klahowya Secondary</t>
  </si>
  <si>
    <t>Olympic High School</t>
  </si>
  <si>
    <t>Pinecrest Elementary</t>
  </si>
  <si>
    <t>Ridgetop Middle School</t>
  </si>
  <si>
    <t>Silver Ridge Elementary</t>
  </si>
  <si>
    <t>Silverdale Elementary</t>
  </si>
  <si>
    <t>Woodlands Elementary</t>
  </si>
  <si>
    <t>Central Valley School District</t>
  </si>
  <si>
    <t>Adams Elementary</t>
  </si>
  <si>
    <t>Bowdish Middle School</t>
  </si>
  <si>
    <t>Broadway Elementary</t>
  </si>
  <si>
    <t>Central Valley Early Learning Center</t>
  </si>
  <si>
    <t>Central Valley High School</t>
  </si>
  <si>
    <t>Chester Elementary School</t>
  </si>
  <si>
    <t>CVSD Open Doors Programs</t>
  </si>
  <si>
    <t>Evergreen Middle School</t>
  </si>
  <si>
    <t>Greenacres Elementary</t>
  </si>
  <si>
    <t>Greenacres Middle School</t>
  </si>
  <si>
    <t>Horizon Middle School</t>
  </si>
  <si>
    <t>I-TRACC</t>
  </si>
  <si>
    <t>Liberty Creek Elementary School</t>
  </si>
  <si>
    <t>Liberty Lake Elementary</t>
  </si>
  <si>
    <t>McDonald Elementary School</t>
  </si>
  <si>
    <t>Mica Peak High School</t>
  </si>
  <si>
    <t>North Pines Middle School</t>
  </si>
  <si>
    <t>Opportunity Elementary</t>
  </si>
  <si>
    <t>Ponderosa Elementary</t>
  </si>
  <si>
    <t>Progress Elementary School</t>
  </si>
  <si>
    <t>Riverbend Elementary School</t>
  </si>
  <si>
    <t>School to Life</t>
  </si>
  <si>
    <t>South Pines Elementary</t>
  </si>
  <si>
    <t>Spokane Valley Learning Academy</t>
  </si>
  <si>
    <t>Spokane Valley Tech</t>
  </si>
  <si>
    <t>Stem Academy at SVT</t>
  </si>
  <si>
    <t>Summit School</t>
  </si>
  <si>
    <t>Sunrise Elementary</t>
  </si>
  <si>
    <t>University Elementary School</t>
  </si>
  <si>
    <t>University High School</t>
  </si>
  <si>
    <t>Centralia College</t>
  </si>
  <si>
    <t>Garrett Heyns High School</t>
  </si>
  <si>
    <t>Centralia School District</t>
  </si>
  <si>
    <t>Centralia High School</t>
  </si>
  <si>
    <t>Centralia Middle School</t>
  </si>
  <si>
    <t>Early Learning Center</t>
  </si>
  <si>
    <t>Edison Elementary</t>
  </si>
  <si>
    <t>Fords Prairie Elementary</t>
  </si>
  <si>
    <t>Futurus High School</t>
  </si>
  <si>
    <t>Jefferson Lincoln Elementary</t>
  </si>
  <si>
    <t>Oakview Elementary School</t>
  </si>
  <si>
    <t>Chehalis School District</t>
  </si>
  <si>
    <t>Chehalis Middle School</t>
  </si>
  <si>
    <t>Green Hill Academic School</t>
  </si>
  <si>
    <t>James W Lintott Elementary School</t>
  </si>
  <si>
    <t>Lewis County Alternative School</t>
  </si>
  <si>
    <t>Lewis County Jail</t>
  </si>
  <si>
    <t>Lewis County Juvenile Detention</t>
  </si>
  <si>
    <t>Orin C Smith Elementary School</t>
  </si>
  <si>
    <t>W F West High School</t>
  </si>
  <si>
    <t>Cheney School District</t>
  </si>
  <si>
    <t>Betz Elementary</t>
  </si>
  <si>
    <t>Birth To Three</t>
  </si>
  <si>
    <t>Cheney High School</t>
  </si>
  <si>
    <t>Cheney Middle School</t>
  </si>
  <si>
    <t>Cheney Open Doors</t>
  </si>
  <si>
    <t>HomeWorks</t>
  </si>
  <si>
    <t>Phil Snowdon Elementary</t>
  </si>
  <si>
    <t>Salnave Elementary</t>
  </si>
  <si>
    <t>Sunset Elementary</t>
  </si>
  <si>
    <t>Three Springs High School</t>
  </si>
  <si>
    <t>Westwood Middle School</t>
  </si>
  <si>
    <t>Windsor Elementary</t>
  </si>
  <si>
    <t>Chewelah School District</t>
  </si>
  <si>
    <t>Chewelah Alternative Educational Programs</t>
  </si>
  <si>
    <t>Chewelah Open Doors Reengagement Program</t>
  </si>
  <si>
    <t>Gess Elementary</t>
  </si>
  <si>
    <t>Jenkins Junior/Senior High</t>
  </si>
  <si>
    <t>Chief Leschi Tribal Compact</t>
  </si>
  <si>
    <t>Chief Leschi Schools</t>
  </si>
  <si>
    <t>Chimacum School District</t>
  </si>
  <si>
    <t>Chimacum Creek Primary School</t>
  </si>
  <si>
    <t>Chimacum Elementary School</t>
  </si>
  <si>
    <t>Chimacum High School</t>
  </si>
  <si>
    <t>Chimacum Middle School</t>
  </si>
  <si>
    <t>Open Doors Reengagement Program</t>
  </si>
  <si>
    <t>PI Program</t>
  </si>
  <si>
    <t>Clarkston School District</t>
  </si>
  <si>
    <t>Charles Francis Adams High School</t>
  </si>
  <si>
    <t>Educational Opportunity Center</t>
  </si>
  <si>
    <t>Educational Opportunity Center Reengagement</t>
  </si>
  <si>
    <t>Grantham Elementary</t>
  </si>
  <si>
    <t>Heights Elementary</t>
  </si>
  <si>
    <t>Highland Elementary</t>
  </si>
  <si>
    <t>Lincoln Middle School</t>
  </si>
  <si>
    <t>Parkway Elementary</t>
  </si>
  <si>
    <t>Cle Elum-Roslyn School District</t>
  </si>
  <si>
    <t>Cle Elum Roslyn Elementary</t>
  </si>
  <si>
    <t>Cle Elum Roslyn High School</t>
  </si>
  <si>
    <t>Swiftwater Learning Center</t>
  </si>
  <si>
    <t>Walter Strom Middle School</t>
  </si>
  <si>
    <t>Clover Park School District</t>
  </si>
  <si>
    <t>Alfaretta House</t>
  </si>
  <si>
    <t>Beachwood Elementary School</t>
  </si>
  <si>
    <t>Carter Lake Elementary School</t>
  </si>
  <si>
    <t>Clover Park Early Learning Program</t>
  </si>
  <si>
    <t>Clover Park High School</t>
  </si>
  <si>
    <t>CPSD Open Doors Program</t>
  </si>
  <si>
    <t>Custer Elementary School</t>
  </si>
  <si>
    <t>Dower Elementary School</t>
  </si>
  <si>
    <t>Evergreen Elementary School</t>
  </si>
  <si>
    <t>Firwood</t>
  </si>
  <si>
    <t>Four Heroes Elementary</t>
  </si>
  <si>
    <t>Harrison Prep School</t>
  </si>
  <si>
    <t>Hillside Elementary School</t>
  </si>
  <si>
    <t>Hudtloff Middle School</t>
  </si>
  <si>
    <t>Idlewild Elementary School</t>
  </si>
  <si>
    <t>Lake Louise Elementary School</t>
  </si>
  <si>
    <t>Lakes High School</t>
  </si>
  <si>
    <t>Lakeview Hope Academy</t>
  </si>
  <si>
    <t>Lochburn Middle School</t>
  </si>
  <si>
    <t>Mann Middle School</t>
  </si>
  <si>
    <t>Meriwether Elementary School</t>
  </si>
  <si>
    <t>Oak Grove</t>
  </si>
  <si>
    <t>Oakbrook Elementary School</t>
  </si>
  <si>
    <t>Oakridge Group Home</t>
  </si>
  <si>
    <t>Park Lodge Elementary School</t>
  </si>
  <si>
    <t>Rainier Elementary School</t>
  </si>
  <si>
    <t>Re-Entry High School</t>
  </si>
  <si>
    <t>Re-Entry Middle School</t>
  </si>
  <si>
    <t>Special Education Services/relife</t>
  </si>
  <si>
    <t>Tillicum Elementary School</t>
  </si>
  <si>
    <t>Transition Day Students</t>
  </si>
  <si>
    <t>Tyee Park Elementary School</t>
  </si>
  <si>
    <t>Woodbrook Middle School</t>
  </si>
  <si>
    <t>Clover Park Technical College</t>
  </si>
  <si>
    <t>Northwest Career and Technical High School</t>
  </si>
  <si>
    <t>Colfax School District</t>
  </si>
  <si>
    <t>Colfax High School</t>
  </si>
  <si>
    <t>Leonard M Jennings Elementary</t>
  </si>
  <si>
    <t>College Place School District</t>
  </si>
  <si>
    <t>College Place High School</t>
  </si>
  <si>
    <t>Davis Elementary</t>
  </si>
  <si>
    <t>John Sager Middle School</t>
  </si>
  <si>
    <t>Colton School District</t>
  </si>
  <si>
    <t>Colton School</t>
  </si>
  <si>
    <t>Columbia (Stevens) School District</t>
  </si>
  <si>
    <t>Columbia Alternative School</t>
  </si>
  <si>
    <t>Columbia High And Elementary</t>
  </si>
  <si>
    <t>Columbia (Walla Walla) School District</t>
  </si>
  <si>
    <t>Columbia Elementary</t>
  </si>
  <si>
    <t>Columbia High School</t>
  </si>
  <si>
    <t>Columbia Middle School</t>
  </si>
  <si>
    <t>Colville School District</t>
  </si>
  <si>
    <t>Colville Junior High School</t>
  </si>
  <si>
    <t>Colville Senior High School</t>
  </si>
  <si>
    <t>Fort Colville Elementary</t>
  </si>
  <si>
    <t>Hofstetter Elementary</t>
  </si>
  <si>
    <t>Panorama School</t>
  </si>
  <si>
    <t>Concrete School District</t>
  </si>
  <si>
    <t>Concrete Elementary</t>
  </si>
  <si>
    <t>Concrete High School</t>
  </si>
  <si>
    <t>Special Services School</t>
  </si>
  <si>
    <t>Twin Cedars High School</t>
  </si>
  <si>
    <t>Conway School District</t>
  </si>
  <si>
    <t>Conway School</t>
  </si>
  <si>
    <t>Cosmopolis School District</t>
  </si>
  <si>
    <t>Cosmopolis Elementary School</t>
  </si>
  <si>
    <t>Coulee-Hartline School District</t>
  </si>
  <si>
    <t>Almira Coulee Hartline High School</t>
  </si>
  <si>
    <t>Coulee City Elementary</t>
  </si>
  <si>
    <t>Coulee City MS</t>
  </si>
  <si>
    <t>Coupeville School District</t>
  </si>
  <si>
    <t>Coupeville Elementary School</t>
  </si>
  <si>
    <t>Coupeville High School</t>
  </si>
  <si>
    <t>Coupeville Middle School</t>
  </si>
  <si>
    <t>ICCF Ed Program</t>
  </si>
  <si>
    <t>Island Juvenile Detention Education Program</t>
  </si>
  <si>
    <t>Open Den</t>
  </si>
  <si>
    <t>Toddler Learning Center</t>
  </si>
  <si>
    <t>Crescent School District</t>
  </si>
  <si>
    <t>Crescent School</t>
  </si>
  <si>
    <t>HomeConnection</t>
  </si>
  <si>
    <t>Creston School District</t>
  </si>
  <si>
    <t>Creston Elementary</t>
  </si>
  <si>
    <t>Creston Jr-Sr High School</t>
  </si>
  <si>
    <t>Curlew School District</t>
  </si>
  <si>
    <t>Curlew Elem &amp; High School</t>
  </si>
  <si>
    <t>Ferry County Open Doors</t>
  </si>
  <si>
    <t>Cusick School District</t>
  </si>
  <si>
    <t>Bess Herian Elementary</t>
  </si>
  <si>
    <t>Cusick Jr Sr High School</t>
  </si>
  <si>
    <t>Home Pride</t>
  </si>
  <si>
    <t>Kalispel Language Immersion School</t>
  </si>
  <si>
    <t>Damman School District</t>
  </si>
  <si>
    <t>Damman Elementary</t>
  </si>
  <si>
    <t>Darrington School District</t>
  </si>
  <si>
    <t>Darrington Elementary School</t>
  </si>
  <si>
    <t>Darrington High School</t>
  </si>
  <si>
    <t>Davenport School District</t>
  </si>
  <si>
    <t>Davenport Elementary</t>
  </si>
  <si>
    <t>Davenport Senior High School</t>
  </si>
  <si>
    <t>Dayton School District</t>
  </si>
  <si>
    <t>Dayton Elementary School</t>
  </si>
  <si>
    <t>Dayton High School</t>
  </si>
  <si>
    <t>Dayton Middle School</t>
  </si>
  <si>
    <t>Deer Park School District</t>
  </si>
  <si>
    <t>Arcadia Elementary</t>
  </si>
  <si>
    <t>BIRTH TO 2 PRESCHOOL</t>
  </si>
  <si>
    <t>Deer Park Early Learning Center</t>
  </si>
  <si>
    <t>Deer Park Elementary</t>
  </si>
  <si>
    <t>Deer Park High School</t>
  </si>
  <si>
    <t>Deer Park Home Link Program</t>
  </si>
  <si>
    <t>Deer Park Middle School</t>
  </si>
  <si>
    <t>Dieringer School District</t>
  </si>
  <si>
    <t>Dieringer Heights Elementary</t>
  </si>
  <si>
    <t>Lake Tapps Elementary</t>
  </si>
  <si>
    <t>North Tapps Middle School</t>
  </si>
  <si>
    <t>Dixie School District</t>
  </si>
  <si>
    <t>Dixie Elementary School</t>
  </si>
  <si>
    <t>East Valley School District (Spokane)</t>
  </si>
  <si>
    <t>Children First</t>
  </si>
  <si>
    <t>Continuous Curriculum School</t>
  </si>
  <si>
    <t>East Farms School</t>
  </si>
  <si>
    <t>East Valley High School</t>
  </si>
  <si>
    <t>East Valley Middle School</t>
  </si>
  <si>
    <t>EV Online</t>
  </si>
  <si>
    <t>EV Parent Partnership</t>
  </si>
  <si>
    <t>Otis Orchards School</t>
  </si>
  <si>
    <t>Trent School</t>
  </si>
  <si>
    <t>Trentwood School</t>
  </si>
  <si>
    <t>East Valley School District (Yakima)</t>
  </si>
  <si>
    <t>East Valley Central Middle School</t>
  </si>
  <si>
    <t>East Valley Elementary</t>
  </si>
  <si>
    <t>Moxee Elementary</t>
  </si>
  <si>
    <t>Terrace Heights Elementary</t>
  </si>
  <si>
    <t>Eastmont School District</t>
  </si>
  <si>
    <t>Canyon View Group Home</t>
  </si>
  <si>
    <t>Cascade Elementary</t>
  </si>
  <si>
    <t>Clovis Point</t>
  </si>
  <si>
    <t>Eastmont Junior High</t>
  </si>
  <si>
    <t>Eastmont Preschools</t>
  </si>
  <si>
    <t>Eastmont Senior High</t>
  </si>
  <si>
    <t>Grant Elementary School</t>
  </si>
  <si>
    <t>Kenroy Elementary</t>
  </si>
  <si>
    <t>Lee Elementary</t>
  </si>
  <si>
    <t>Rock Island Elementary</t>
  </si>
  <si>
    <t>Sterling School</t>
  </si>
  <si>
    <t>Easton School District</t>
  </si>
  <si>
    <t>Easton School</t>
  </si>
  <si>
    <t>Easton Secondary School</t>
  </si>
  <si>
    <t>Eatonville School District</t>
  </si>
  <si>
    <t>Columbia Crest A-STEM Academy</t>
  </si>
  <si>
    <t>Eatonville Developmental Pre-School</t>
  </si>
  <si>
    <t>Eatonville Elementary School</t>
  </si>
  <si>
    <t>Eatonville High School</t>
  </si>
  <si>
    <t>Eatonville Middle School</t>
  </si>
  <si>
    <t>Eatonville Online Academy</t>
  </si>
  <si>
    <t>Mt. Rainier Parent Partnership</t>
  </si>
  <si>
    <t>New Beginnings</t>
  </si>
  <si>
    <t>Weyerhaeuser Elementary</t>
  </si>
  <si>
    <t>Edmonds School District</t>
  </si>
  <si>
    <t>Alderwood Middle School</t>
  </si>
  <si>
    <t>Beverly Elementary</t>
  </si>
  <si>
    <t>Brier Elementary</t>
  </si>
  <si>
    <t>Brier Terrace Middle School</t>
  </si>
  <si>
    <t>Cedar Valley Community School</t>
  </si>
  <si>
    <t>Cedar Way Elementary</t>
  </si>
  <si>
    <t>Challenge Elementary</t>
  </si>
  <si>
    <t>Chase Lake Elementary</t>
  </si>
  <si>
    <t>College Place Elementary</t>
  </si>
  <si>
    <t>College Place Middle School</t>
  </si>
  <si>
    <t>Contracted Schools</t>
  </si>
  <si>
    <t>Early Childhood Center</t>
  </si>
  <si>
    <t>Edmonds Career Access Program</t>
  </si>
  <si>
    <t>Edmonds eLearning Academy</t>
  </si>
  <si>
    <t>Edmonds Elementary</t>
  </si>
  <si>
    <t>Edmonds Heights K-12</t>
  </si>
  <si>
    <t>Edmonds Woodway High School</t>
  </si>
  <si>
    <t>Hazelwood Elementary</t>
  </si>
  <si>
    <t>Hilltop Elementary</t>
  </si>
  <si>
    <t>Lynndale Elementary</t>
  </si>
  <si>
    <t>Lynnwood Elementary</t>
  </si>
  <si>
    <t>Lynnwood High School</t>
  </si>
  <si>
    <t>Madrona K-8 School</t>
  </si>
  <si>
    <t>Maplewood Parent Coop</t>
  </si>
  <si>
    <t>Martha Lake Elementary</t>
  </si>
  <si>
    <t>Meadowdale Elementary</t>
  </si>
  <si>
    <t>Meadowdale High School</t>
  </si>
  <si>
    <t>Meadowdale Middle School</t>
  </si>
  <si>
    <t>Mountlake Terrace Elementary</t>
  </si>
  <si>
    <t>Mountlake Terrace High School</t>
  </si>
  <si>
    <t>Oak Heights Elementary</t>
  </si>
  <si>
    <t>Scriber Lake High School</t>
  </si>
  <si>
    <t>Seaview Elementary</t>
  </si>
  <si>
    <t>Sherwood Elementary</t>
  </si>
  <si>
    <t>Spruce Elementary</t>
  </si>
  <si>
    <t>Terrace Park Elementary</t>
  </si>
  <si>
    <t>Unassigned School</t>
  </si>
  <si>
    <t>Westgate Elementary</t>
  </si>
  <si>
    <t>Educational Service District 101</t>
  </si>
  <si>
    <t>Martin Hall Detention Ctr</t>
  </si>
  <si>
    <t>NEWESD 101 Open Doors</t>
  </si>
  <si>
    <t>Spokane Juvenile Detention School</t>
  </si>
  <si>
    <t>Structural Alt Confinement School</t>
  </si>
  <si>
    <t>Educational Service District 112</t>
  </si>
  <si>
    <t>Clark County Juvenile Detention School</t>
  </si>
  <si>
    <t>Cowlitz County Youth Services Center</t>
  </si>
  <si>
    <t>ESD 112 Open Doors Reengagement</t>
  </si>
  <si>
    <t>Educational Service District 123</t>
  </si>
  <si>
    <t>Ugrad â€“ ESD123 Re-Engagement Program</t>
  </si>
  <si>
    <t>Walla Walla County Juvenile Detention</t>
  </si>
  <si>
    <t>Ellensburg School District</t>
  </si>
  <si>
    <t>Ellensburg Developmental Preschool</t>
  </si>
  <si>
    <t>Ellensburg High School</t>
  </si>
  <si>
    <t>K-12 Ellensburg Learning Center</t>
  </si>
  <si>
    <t>Lincoln Elementary</t>
  </si>
  <si>
    <t>Morgan Middle School</t>
  </si>
  <si>
    <t>Mt. Stuart Elementary</t>
  </si>
  <si>
    <t>Valley View Elementary School</t>
  </si>
  <si>
    <t>Elma School District</t>
  </si>
  <si>
    <t>East Grays Harbor High School</t>
  </si>
  <si>
    <t>East Grays Harbor Open Doors</t>
  </si>
  <si>
    <t>Elma Elementary School</t>
  </si>
  <si>
    <t>Elma High School</t>
  </si>
  <si>
    <t>Elma Middle School</t>
  </si>
  <si>
    <t>Endicott School District</t>
  </si>
  <si>
    <t>Endicott/St John Elem and Middle</t>
  </si>
  <si>
    <t>Entiat School District</t>
  </si>
  <si>
    <t>Entiat Middle and High School</t>
  </si>
  <si>
    <t>Paul Rumburg Elementary</t>
  </si>
  <si>
    <t>Enumclaw School District</t>
  </si>
  <si>
    <t>Black Diamond Elementary</t>
  </si>
  <si>
    <t>Byron Kibler Elementary School</t>
  </si>
  <si>
    <t>Enumclaw Middle School</t>
  </si>
  <si>
    <t>Enumclaw Sr High School</t>
  </si>
  <si>
    <t>JJ Smith Elementary</t>
  </si>
  <si>
    <t>Southwood Elementary School</t>
  </si>
  <si>
    <t>Thunder Mountain Middle School</t>
  </si>
  <si>
    <t>Westwood Elementary School</t>
  </si>
  <si>
    <t>Ephrata School District</t>
  </si>
  <si>
    <t>Beezley Springs Elementary</t>
  </si>
  <si>
    <t>Columbia Ridge Elementary</t>
  </si>
  <si>
    <t>Ephrata High School</t>
  </si>
  <si>
    <t>Ephrata Middle School</t>
  </si>
  <si>
    <t>Grant Elementary</t>
  </si>
  <si>
    <t>Parkway School</t>
  </si>
  <si>
    <t>Sage Hills Open Doors</t>
  </si>
  <si>
    <t>ESA 112</t>
  </si>
  <si>
    <t>ESA 112 Special Ed Co-Op</t>
  </si>
  <si>
    <t>Evaline School District</t>
  </si>
  <si>
    <t>Evaline Elementary School</t>
  </si>
  <si>
    <t>Everett School District</t>
  </si>
  <si>
    <t>Cedar Wood Elementary</t>
  </si>
  <si>
    <t>Eisenhower Middle School</t>
  </si>
  <si>
    <t>Emerson Elementary School</t>
  </si>
  <si>
    <t>Everett High School</t>
  </si>
  <si>
    <t>Everett Reengagement Academy</t>
  </si>
  <si>
    <t>Forest View Elementary School</t>
  </si>
  <si>
    <t>Garfield Elementary School</t>
  </si>
  <si>
    <t>Gateway Middle School</t>
  </si>
  <si>
    <t>Hawthorne Elementary School - Everett</t>
  </si>
  <si>
    <t>Heatherwood Middle School</t>
  </si>
  <si>
    <t>Henry M. Jackson High School</t>
  </si>
  <si>
    <t>Jackson Elementary School</t>
  </si>
  <si>
    <t>Jefferson Elementary</t>
  </si>
  <si>
    <t>Lowell Elementary - Everett</t>
  </si>
  <si>
    <t>Madison Elementary</t>
  </si>
  <si>
    <t>Mill Creek Elementary</t>
  </si>
  <si>
    <t>Monroe Elementary</t>
  </si>
  <si>
    <t>North Middle School</t>
  </si>
  <si>
    <t>NW Learning Center</t>
  </si>
  <si>
    <t>Other Schools</t>
  </si>
  <si>
    <t>Penny Creek Elementary</t>
  </si>
  <si>
    <t>Port Gardner</t>
  </si>
  <si>
    <t>Sequoia High School</t>
  </si>
  <si>
    <t>Silver Firs Elementary</t>
  </si>
  <si>
    <t>Silver Lake Elementary - Everett</t>
  </si>
  <si>
    <t>Sno Co Jail</t>
  </si>
  <si>
    <t>View Ridge Elementary</t>
  </si>
  <si>
    <t>Whittier Elementary</t>
  </si>
  <si>
    <t>Woodside Elementary</t>
  </si>
  <si>
    <t>Evergreen School District (Clark)</t>
  </si>
  <si>
    <t>49th Street Academy</t>
  </si>
  <si>
    <t>Burnt Bridge Creek Elementary Sch</t>
  </si>
  <si>
    <t>Burton Elementary School</t>
  </si>
  <si>
    <t xml:space="preserve">Cascadia Technical Academy ALE  </t>
  </si>
  <si>
    <t>Cascadia Technical Academy Skills Center</t>
  </si>
  <si>
    <t>Columbia Valley Elementary</t>
  </si>
  <si>
    <t>Covington Middle School</t>
  </si>
  <si>
    <t>Crestline Elementary School</t>
  </si>
  <si>
    <t>Ellsworth Elementary School</t>
  </si>
  <si>
    <t>Endeavour Elementary School</t>
  </si>
  <si>
    <t>Evergreen High School</t>
  </si>
  <si>
    <t>Fircrest Elementary School</t>
  </si>
  <si>
    <t>Fishers Landing Elementary School</t>
  </si>
  <si>
    <t>Harmony Elementary School</t>
  </si>
  <si>
    <t>Hearthwood Elementary School</t>
  </si>
  <si>
    <t>Henrietta Lacks Health and Bioscience High School</t>
  </si>
  <si>
    <t>Heritage High School</t>
  </si>
  <si>
    <t>Home Choice Academy</t>
  </si>
  <si>
    <t>Illahee Elementary School</t>
  </si>
  <si>
    <t>Image Elementary School</t>
  </si>
  <si>
    <t>Legacy High School</t>
  </si>
  <si>
    <t>Marrion Elementary School</t>
  </si>
  <si>
    <t>Mill Plain Elementary School</t>
  </si>
  <si>
    <t>Mountain View High School</t>
  </si>
  <si>
    <t>Open Doors Evergreen</t>
  </si>
  <si>
    <t>Orchards Elementary School</t>
  </si>
  <si>
    <t>Pacific Middle School</t>
  </si>
  <si>
    <t>Riverview Elementary School</t>
  </si>
  <si>
    <t>Shahala Middle School</t>
  </si>
  <si>
    <t>Sifton Elementary School</t>
  </si>
  <si>
    <t>Silver Star Elementary School</t>
  </si>
  <si>
    <t>Sunset Elementary School</t>
  </si>
  <si>
    <t>Union High School</t>
  </si>
  <si>
    <t>Wyeast Middle School</t>
  </si>
  <si>
    <t>York Elementary School</t>
  </si>
  <si>
    <t>Evergreen School District (Stevens)</t>
  </si>
  <si>
    <t>Evergreen School</t>
  </si>
  <si>
    <t>Federal Way School District</t>
  </si>
  <si>
    <t>Adelaide Elementary School</t>
  </si>
  <si>
    <t>Birth to Three Development Center</t>
  </si>
  <si>
    <t>Brigadoon Elementary School</t>
  </si>
  <si>
    <t>Camelot Elementary School</t>
  </si>
  <si>
    <t>Career Academy at Truman High School</t>
  </si>
  <si>
    <t>Decatur High School</t>
  </si>
  <si>
    <t>Dynamic Family Services</t>
  </si>
  <si>
    <t>Employment Transition Program</t>
  </si>
  <si>
    <t>Enterprise Elementary School</t>
  </si>
  <si>
    <t>Federal Way High School</t>
  </si>
  <si>
    <t>Federal Way Public Academy</t>
  </si>
  <si>
    <t>Federal Way Public School ECEAP</t>
  </si>
  <si>
    <t>Federal Way Public Schools Headstart</t>
  </si>
  <si>
    <t>Federal Way Running Start Home School</t>
  </si>
  <si>
    <t>Gateway to College</t>
  </si>
  <si>
    <t>Green Gables Elementary School</t>
  </si>
  <si>
    <t>Illahee Middle School</t>
  </si>
  <si>
    <t>Internet Academy</t>
  </si>
  <si>
    <t>Kilo Middle School</t>
  </si>
  <si>
    <t>Lake Dolloff Elementary School</t>
  </si>
  <si>
    <t>Lake Grove Elementary School</t>
  </si>
  <si>
    <t>Lakeland Elementary School</t>
  </si>
  <si>
    <t>Lakota Middle School</t>
  </si>
  <si>
    <t>Mark Twain Elementary School</t>
  </si>
  <si>
    <t>Meredith Hill Elementary School</t>
  </si>
  <si>
    <t>Mirror Lake Elementary School</t>
  </si>
  <si>
    <t>Nautilus K-8 School</t>
  </si>
  <si>
    <t>Olympic View Elementary School</t>
  </si>
  <si>
    <t>Open Doors Youth Reengagement (1418)</t>
  </si>
  <si>
    <t>Panther Lake Elementary School</t>
  </si>
  <si>
    <t>Rainier View Elementary School</t>
  </si>
  <si>
    <t>Sacajawea Middle School</t>
  </si>
  <si>
    <t>Sequoyah Middle School</t>
  </si>
  <si>
    <t>Sherwood Forest Elementary School</t>
  </si>
  <si>
    <t>Silver Lake Elementary School - Federal Way</t>
  </si>
  <si>
    <t>Star Lake Elementary School</t>
  </si>
  <si>
    <t>Sunnycrest Elementary School</t>
  </si>
  <si>
    <t>Support School</t>
  </si>
  <si>
    <t>TAFA at Saghalie</t>
  </si>
  <si>
    <t>Thomas Jefferson High School</t>
  </si>
  <si>
    <t>Todd Beamer High School</t>
  </si>
  <si>
    <t>Totem Middle School</t>
  </si>
  <si>
    <t>Twin Lakes Elementary School</t>
  </si>
  <si>
    <t>Valhalla Elementary School</t>
  </si>
  <si>
    <t>Wildwood Elementary School</t>
  </si>
  <si>
    <t>Woodmont K-8 School</t>
  </si>
  <si>
    <t>Ferndale School District</t>
  </si>
  <si>
    <t>Beach Elem</t>
  </si>
  <si>
    <t>Cascadia Elementary</t>
  </si>
  <si>
    <t>Central Elementary</t>
  </si>
  <si>
    <t>Custer Elem</t>
  </si>
  <si>
    <t>Eagleridge Elementary</t>
  </si>
  <si>
    <t>Ferndale Family Connections</t>
  </si>
  <si>
    <t>Ferndale High School</t>
  </si>
  <si>
    <t>FERNDALE RE-ENGAGEMENT</t>
  </si>
  <si>
    <t>Ferndale Special Services</t>
  </si>
  <si>
    <t>Skyline Elementary School</t>
  </si>
  <si>
    <t>Vista Middle School</t>
  </si>
  <si>
    <t>WINDWARD HIGH SCHOOL</t>
  </si>
  <si>
    <t>Fife School District</t>
  </si>
  <si>
    <t>Columbia Junior High School</t>
  </si>
  <si>
    <t>Discovery Primary School</t>
  </si>
  <si>
    <t>Endeavour Intermediate</t>
  </si>
  <si>
    <t>Fife High School</t>
  </si>
  <si>
    <t>Hedden Elementary School</t>
  </si>
  <si>
    <t>Surprise Lake Middle School</t>
  </si>
  <si>
    <t>Finley School District</t>
  </si>
  <si>
    <t>Finley Elementary</t>
  </si>
  <si>
    <t>Finley Middle School</t>
  </si>
  <si>
    <t>River View High School</t>
  </si>
  <si>
    <t>Franklin Pierce School District</t>
  </si>
  <si>
    <t>Brookdale Elementary</t>
  </si>
  <si>
    <t>Central Avenue Elementary</t>
  </si>
  <si>
    <t>Christensen Elementary</t>
  </si>
  <si>
    <t>Collins Elementary</t>
  </si>
  <si>
    <t>Elmhurst Elementary School</t>
  </si>
  <si>
    <t>Franklin Pierce High School</t>
  </si>
  <si>
    <t>Gates Secondary School</t>
  </si>
  <si>
    <t>Harvard Elementary</t>
  </si>
  <si>
    <t>James Sales Elementary</t>
  </si>
  <si>
    <t>Learning Support</t>
  </si>
  <si>
    <t>Midland Elementary</t>
  </si>
  <si>
    <t>Morris Ford Middle School</t>
  </si>
  <si>
    <t>Perry G Keithley Middle School</t>
  </si>
  <si>
    <t>Washington High School</t>
  </si>
  <si>
    <t>Freeman School District</t>
  </si>
  <si>
    <t>Freeman Elementary School</t>
  </si>
  <si>
    <t>Freeman High School</t>
  </si>
  <si>
    <t>Freeman Middle School</t>
  </si>
  <si>
    <t>Garfield School District</t>
  </si>
  <si>
    <t>Garfield at Palouse High School</t>
  </si>
  <si>
    <t>Garfield Elementary</t>
  </si>
  <si>
    <t>Garfield Middle School</t>
  </si>
  <si>
    <t>Glenwood School District</t>
  </si>
  <si>
    <t>Glenwood Elementary</t>
  </si>
  <si>
    <t>Glenwood Secondary</t>
  </si>
  <si>
    <t>Goldendale School District</t>
  </si>
  <si>
    <t>Goldendale High School</t>
  </si>
  <si>
    <t>Goldendale Middle School</t>
  </si>
  <si>
    <t>Goldendale Primary School</t>
  </si>
  <si>
    <t>Goldendale Support Service Center</t>
  </si>
  <si>
    <t>Grand Coulee Dam School District</t>
  </si>
  <si>
    <t>Lake Roosevelt Alternative School</t>
  </si>
  <si>
    <t xml:space="preserve">Lake Roosevelt Elementary </t>
  </si>
  <si>
    <t>Lake Roosevelt Jr/Sr High School</t>
  </si>
  <si>
    <t>Grandview School District</t>
  </si>
  <si>
    <t>Contract Learning Center</t>
  </si>
  <si>
    <t>Grandview High School</t>
  </si>
  <si>
    <t>Grandview Middle School</t>
  </si>
  <si>
    <t>Mcclure Elementary School</t>
  </si>
  <si>
    <t>Smith Elementary School</t>
  </si>
  <si>
    <t>Step Up to College Open Doors High School</t>
  </si>
  <si>
    <t>Thompson Elementary School</t>
  </si>
  <si>
    <t>Granger School District</t>
  </si>
  <si>
    <t>Granger High School</t>
  </si>
  <si>
    <t>Granger Middle School</t>
  </si>
  <si>
    <t>Roosevelt Elementary</t>
  </si>
  <si>
    <t>Granite Falls School District</t>
  </si>
  <si>
    <t>Crossroads High School</t>
  </si>
  <si>
    <t>Granite Falls High School</t>
  </si>
  <si>
    <t>Granite Falls Middle School</t>
  </si>
  <si>
    <t>Granite Falls Open Doors</t>
  </si>
  <si>
    <t>Monte Cristo Elementary</t>
  </si>
  <si>
    <t>Mountain Way Elementary</t>
  </si>
  <si>
    <t>Grapeview School District</t>
  </si>
  <si>
    <t>Grapeview Elementary &amp; Middle School</t>
  </si>
  <si>
    <t>Great Northern School District</t>
  </si>
  <si>
    <t>Great Northern Elementary</t>
  </si>
  <si>
    <t>Green Dot Public Schools Destiny</t>
  </si>
  <si>
    <t>Destiny Middle School</t>
  </si>
  <si>
    <t>Green Dot Public Schools Excel</t>
  </si>
  <si>
    <t>Excel Public Charter School</t>
  </si>
  <si>
    <t>Green Dot Public Schools Rainier Valley</t>
  </si>
  <si>
    <t>Rainier Valley Leadership Academy</t>
  </si>
  <si>
    <t>Green Mountain School District</t>
  </si>
  <si>
    <t>Green Mountain School</t>
  </si>
  <si>
    <t>Griffin School District</t>
  </si>
  <si>
    <t>Griffin School</t>
  </si>
  <si>
    <t>Harrington School District</t>
  </si>
  <si>
    <t>Harrington Elementary School</t>
  </si>
  <si>
    <t>Harrington High School</t>
  </si>
  <si>
    <t>Highland School District</t>
  </si>
  <si>
    <t>Highland High School</t>
  </si>
  <si>
    <t>Highland Junior High School</t>
  </si>
  <si>
    <t>Marcus Whitman-Cowiche Elementary</t>
  </si>
  <si>
    <t>Tieton Intermediate School</t>
  </si>
  <si>
    <t>Highline School District</t>
  </si>
  <si>
    <t>Beverly Park Elem at Glendale</t>
  </si>
  <si>
    <t>Big Picture School</t>
  </si>
  <si>
    <t>Bow Lake Elementary</t>
  </si>
  <si>
    <t>Career Link</t>
  </si>
  <si>
    <t>Cedarhurst Elementary</t>
  </si>
  <si>
    <t>CHOICE Academy</t>
  </si>
  <si>
    <t>Des Moines Elementary</t>
  </si>
  <si>
    <t>Gregory Heights Elementary</t>
  </si>
  <si>
    <t>Hazel Valley Elementary</t>
  </si>
  <si>
    <t>Head Start</t>
  </si>
  <si>
    <t>Highline High School</t>
  </si>
  <si>
    <t>Highline Home School Center</t>
  </si>
  <si>
    <t>Highline Open Doors 1418</t>
  </si>
  <si>
    <t>Madrona Elementary</t>
  </si>
  <si>
    <t>Marvista Elementary</t>
  </si>
  <si>
    <t>McMicken Heights Elementary</t>
  </si>
  <si>
    <t>Midway Elementary</t>
  </si>
  <si>
    <t>Mount Rainier High School</t>
  </si>
  <si>
    <t>Mount View Elementary</t>
  </si>
  <si>
    <t>New Start</t>
  </si>
  <si>
    <t>North Hill Elementary</t>
  </si>
  <si>
    <t>Parkside Elementary</t>
  </si>
  <si>
    <t>Puget Sound High School</t>
  </si>
  <si>
    <t>Puget Sound Skills Center</t>
  </si>
  <si>
    <t>Raisbeck Aviation High School</t>
  </si>
  <si>
    <t>Satellite High School</t>
  </si>
  <si>
    <t>Seahurst Elementary School</t>
  </si>
  <si>
    <t>Shorewood Elementary</t>
  </si>
  <si>
    <t>Southern Heights Elementary</t>
  </si>
  <si>
    <t>Southwest Youth and Family Services</t>
  </si>
  <si>
    <t>Sylvester Middle School</t>
  </si>
  <si>
    <t>Tyee High School</t>
  </si>
  <si>
    <t>Valley View Early Childhood Center</t>
  </si>
  <si>
    <t>White Center Heights Elementary</t>
  </si>
  <si>
    <t>Hockinson School District</t>
  </si>
  <si>
    <t>Hockinson Heights Elementary School</t>
  </si>
  <si>
    <t>Hockinson High School</t>
  </si>
  <si>
    <t>Hockinson Middle School</t>
  </si>
  <si>
    <t>Hood Canal School District</t>
  </si>
  <si>
    <t>Hood Canal Elementary School</t>
  </si>
  <si>
    <t>Hood Canal Middle School</t>
  </si>
  <si>
    <t>Hoquiam School District</t>
  </si>
  <si>
    <t>Central Elementary School</t>
  </si>
  <si>
    <t>Emerson Elementary</t>
  </si>
  <si>
    <t>Hoquiam High School</t>
  </si>
  <si>
    <t>Hoquiam Homelink School</t>
  </si>
  <si>
    <t>Hoquiam Middle School</t>
  </si>
  <si>
    <t>Impact Public Schools</t>
  </si>
  <si>
    <t>Impact | Puget Sound Elementary</t>
  </si>
  <si>
    <t>Inchelium School District</t>
  </si>
  <si>
    <t>Inchelium Elementary School</t>
  </si>
  <si>
    <t>Inchelium High School</t>
  </si>
  <si>
    <t>Inchelium Middle School</t>
  </si>
  <si>
    <t>Index School District</t>
  </si>
  <si>
    <t>Index Elementary School</t>
  </si>
  <si>
    <t>Issaquah School District</t>
  </si>
  <si>
    <t>Apollo Elementary</t>
  </si>
  <si>
    <t>Beaver Lake Middle School</t>
  </si>
  <si>
    <t>Briarwood Elementary</t>
  </si>
  <si>
    <t>Cascade Ridge Elementary</t>
  </si>
  <si>
    <t>Challenger Elementary</t>
  </si>
  <si>
    <t>Clark Elementary</t>
  </si>
  <si>
    <t>Cougar Ridge Elementary</t>
  </si>
  <si>
    <t>Creekside Elementary</t>
  </si>
  <si>
    <t>Discovery Elementary</t>
  </si>
  <si>
    <t>Echo Glen School</t>
  </si>
  <si>
    <t>Gibson Ek High School</t>
  </si>
  <si>
    <t>Grand Ridge Elementary</t>
  </si>
  <si>
    <t>Issaquah Head Start</t>
  </si>
  <si>
    <t>Issaquah High School</t>
  </si>
  <si>
    <t>Issaquah Middle School</t>
  </si>
  <si>
    <t>Issaquah Special Services</t>
  </si>
  <si>
    <t>Issaquah Valley Elementary</t>
  </si>
  <si>
    <t>Liberty Sr High School</t>
  </si>
  <si>
    <t>Maple Hills Elementary</t>
  </si>
  <si>
    <t>Maywood Middle School</t>
  </si>
  <si>
    <t>Newcastle Elementary School</t>
  </si>
  <si>
    <t>Pacific Cascade Middle School</t>
  </si>
  <si>
    <t>Pine Lake Middle School</t>
  </si>
  <si>
    <t>Skyline High School</t>
  </si>
  <si>
    <t>Sunny Hills Elementary</t>
  </si>
  <si>
    <t>Kahlotus School District</t>
  </si>
  <si>
    <t>Kahlotus Elem &amp; High</t>
  </si>
  <si>
    <t>Kalama School District</t>
  </si>
  <si>
    <t>Kalama Elem School</t>
  </si>
  <si>
    <t>Kalama High School</t>
  </si>
  <si>
    <t>Kalama Middle School</t>
  </si>
  <si>
    <t>Keller School District</t>
  </si>
  <si>
    <t>Keller Elementary School</t>
  </si>
  <si>
    <t>Kelso School District</t>
  </si>
  <si>
    <t>Barnes Elementary</t>
  </si>
  <si>
    <t>Beacon Hill Elementary</t>
  </si>
  <si>
    <t>Butler Acres Elementary</t>
  </si>
  <si>
    <t>Carrolls Elementary</t>
  </si>
  <si>
    <t>Catlin Elementary</t>
  </si>
  <si>
    <t>Coweeman Middle School</t>
  </si>
  <si>
    <t>Huntington Middle School</t>
  </si>
  <si>
    <t>Kelso Goal Oriented Learning Design</t>
  </si>
  <si>
    <t>Kelso High School</t>
  </si>
  <si>
    <t>Kelso Virtual Academy</t>
  </si>
  <si>
    <t>Loowit High School</t>
  </si>
  <si>
    <t>Rose Valley Elementary</t>
  </si>
  <si>
    <t>Special Education</t>
  </si>
  <si>
    <t>Wallace Elementary</t>
  </si>
  <si>
    <t>Kennewick School District</t>
  </si>
  <si>
    <t>Amistad Elementary School</t>
  </si>
  <si>
    <t>Amon Creek Elementary</t>
  </si>
  <si>
    <t>Benton County Jail</t>
  </si>
  <si>
    <t>Benton/Franklin Juvenile Justice Center</t>
  </si>
  <si>
    <t>Canyon View Elementary School</t>
  </si>
  <si>
    <t>Cascade Elementary School</t>
  </si>
  <si>
    <t>Cottonwood Elementary</t>
  </si>
  <si>
    <t>Desert Hills Middle School</t>
  </si>
  <si>
    <t>Edison Elementary School - Kennewick</t>
  </si>
  <si>
    <t>Fuerza Elementary</t>
  </si>
  <si>
    <t>Hawthorne Elementary School - Kennewick</t>
  </si>
  <si>
    <t>Highlands Middle School</t>
  </si>
  <si>
    <t>Horse Heaven Hills Middle School</t>
  </si>
  <si>
    <t>Kamiakin High School</t>
  </si>
  <si>
    <t>Keewaydin Discovery Center</t>
  </si>
  <si>
    <t>Kennewick High School</t>
  </si>
  <si>
    <t>Lincoln Elementary School</t>
  </si>
  <si>
    <t>Mid-Columbia Parent Partnership</t>
  </si>
  <si>
    <t>Park Middle School</t>
  </si>
  <si>
    <t>Phoenix High School</t>
  </si>
  <si>
    <t>Ridge View Elementary School</t>
  </si>
  <si>
    <t>Sage Crest Elementary</t>
  </si>
  <si>
    <t>Southgate Elementary School</t>
  </si>
  <si>
    <t>Southridge High School</t>
  </si>
  <si>
    <t>Sunset View Elementary School</t>
  </si>
  <si>
    <t>Tri-Tech Skills Center</t>
  </si>
  <si>
    <t>Vista Elementary School</t>
  </si>
  <si>
    <t>Westgate Elementary School</t>
  </si>
  <si>
    <t>Kent School District</t>
  </si>
  <si>
    <t>Birth to Age 2</t>
  </si>
  <si>
    <t>Carriage Crest Elementary School</t>
  </si>
  <si>
    <t>Cedar Heights Middle School</t>
  </si>
  <si>
    <t>Cedar Valley Elementary School</t>
  </si>
  <si>
    <t>Covington Elementary School</t>
  </si>
  <si>
    <t>Crestwood Elementary School</t>
  </si>
  <si>
    <t>East Hill Elementary School</t>
  </si>
  <si>
    <t>Emerald Park Elementary School</t>
  </si>
  <si>
    <t>Fairwood Elementary School</t>
  </si>
  <si>
    <t>George T. Daniel Elementary School</t>
  </si>
  <si>
    <t>Glenridge Elementary</t>
  </si>
  <si>
    <t>Grass Lake Elementary School</t>
  </si>
  <si>
    <t>Horizon Elementary School</t>
  </si>
  <si>
    <t>iGrad</t>
  </si>
  <si>
    <t>Jenkins Creek Elementary School</t>
  </si>
  <si>
    <t>Kent Elementary School</t>
  </si>
  <si>
    <t>Kent Mountain View Academy</t>
  </si>
  <si>
    <t>Kent Phoenix Academy</t>
  </si>
  <si>
    <t>Kentlake High School</t>
  </si>
  <si>
    <t>Kent-Meridian High School</t>
  </si>
  <si>
    <t>Kentridge High School</t>
  </si>
  <si>
    <t>Kentwood High School</t>
  </si>
  <si>
    <t>Lake Youngs Elementary School</t>
  </si>
  <si>
    <t>Martin Sortun Elementary School</t>
  </si>
  <si>
    <t>Mattson Middle School</t>
  </si>
  <si>
    <t>Meadow Ridge Elementary School</t>
  </si>
  <si>
    <t>Meeker Middle School</t>
  </si>
  <si>
    <t>Meridian Elementary School</t>
  </si>
  <si>
    <t>Meridian Middle School</t>
  </si>
  <si>
    <t>Mill Creek Middle School</t>
  </si>
  <si>
    <t>Millennium Elementary School</t>
  </si>
  <si>
    <t>Neely O Brien Elementary School</t>
  </si>
  <si>
    <t>Northwood Middle School</t>
  </si>
  <si>
    <t>Park Orchard Elementary School</t>
  </si>
  <si>
    <t>Pine Tree Elementary School</t>
  </si>
  <si>
    <t>Regional Justice Center</t>
  </si>
  <si>
    <t>Ridgewood Elementary School</t>
  </si>
  <si>
    <t>Sawyer Woods Elementary School</t>
  </si>
  <si>
    <t>Scenic Hill Elementary School</t>
  </si>
  <si>
    <t>Soos Creek Elementary School</t>
  </si>
  <si>
    <t>Springbrook Elementary School</t>
  </si>
  <si>
    <t>Sunrise Elementary School</t>
  </si>
  <si>
    <t>The Outreach Program</t>
  </si>
  <si>
    <t>Kettle Falls School District</t>
  </si>
  <si>
    <t>Columbia Virtual Academy - Kettle Falls</t>
  </si>
  <si>
    <t>Kettle Falls Early Learning Center</t>
  </si>
  <si>
    <t>Kettle Falls Elementary School</t>
  </si>
  <si>
    <t>Kettle Falls High School</t>
  </si>
  <si>
    <t>Kettle Falls Middle School</t>
  </si>
  <si>
    <t>Kiona-Benton City School District</t>
  </si>
  <si>
    <t>Kiona-Benton City High School</t>
  </si>
  <si>
    <t>Kiona-Benton City Middle School</t>
  </si>
  <si>
    <t>Kiona-Benton City Primary School</t>
  </si>
  <si>
    <t>Kiona-Benton Intermediate School</t>
  </si>
  <si>
    <t>Kittitas School District</t>
  </si>
  <si>
    <t>Kittitas B-5 Special Ed Program</t>
  </si>
  <si>
    <t>Kittitas Elementary School</t>
  </si>
  <si>
    <t>Kittitas High School</t>
  </si>
  <si>
    <t>Parke Creek Treatment Ctr</t>
  </si>
  <si>
    <t>Klickitat School District</t>
  </si>
  <si>
    <t>Klickitat Elem &amp; High</t>
  </si>
  <si>
    <t>La Center School District</t>
  </si>
  <si>
    <t>La Center Elementary</t>
  </si>
  <si>
    <t>La Center High School</t>
  </si>
  <si>
    <t>La Center Home School Academy</t>
  </si>
  <si>
    <t>La Center Middle School</t>
  </si>
  <si>
    <t>La Conner School District</t>
  </si>
  <si>
    <t>La Conner Elementary</t>
  </si>
  <si>
    <t>La Conner High School</t>
  </si>
  <si>
    <t>La Conner Middle</t>
  </si>
  <si>
    <t>LaCrosse School District</t>
  </si>
  <si>
    <t>Lacrosse Elementary School</t>
  </si>
  <si>
    <t>Lacrosse High School</t>
  </si>
  <si>
    <t>Lake Chelan School District</t>
  </si>
  <si>
    <t>Chelan High School</t>
  </si>
  <si>
    <t>Chelan Middle School</t>
  </si>
  <si>
    <t>Chelan School of Innovation</t>
  </si>
  <si>
    <t>Holden Village Community School</t>
  </si>
  <si>
    <t>Lake Chelan Preschool</t>
  </si>
  <si>
    <t>Morgen Owings Elementary School</t>
  </si>
  <si>
    <t>Lake Quinault School District</t>
  </si>
  <si>
    <t>Lake Quinault School</t>
  </si>
  <si>
    <t>Lake Stevens School District</t>
  </si>
  <si>
    <t>Cavelero Mid High School</t>
  </si>
  <si>
    <t>Hillcrest Elementary School</t>
  </si>
  <si>
    <t>Homelink</t>
  </si>
  <si>
    <t>Lake Stevens Middle School</t>
  </si>
  <si>
    <t>Lake Stevens Sr High School</t>
  </si>
  <si>
    <t>Mt. Pilchuck Elementary School</t>
  </si>
  <si>
    <t>North Lake Middle School</t>
  </si>
  <si>
    <t>Outcomes for Academic Resilience</t>
  </si>
  <si>
    <t>Prove High School</t>
  </si>
  <si>
    <t>Skyline Elementary</t>
  </si>
  <si>
    <t>Stevens Creek Elementary</t>
  </si>
  <si>
    <t>Lake Washington Institute of Technology</t>
  </si>
  <si>
    <t>Lake Washington Technical Academy</t>
  </si>
  <si>
    <t>Open Doors at LWIT</t>
  </si>
  <si>
    <t>Lake Washington School District</t>
  </si>
  <si>
    <t>Alcott Elementary</t>
  </si>
  <si>
    <t>Audubon Elementary</t>
  </si>
  <si>
    <t>Bell Elementary</t>
  </si>
  <si>
    <t>Blackwell Elementary</t>
  </si>
  <si>
    <t>Carson Elementary</t>
  </si>
  <si>
    <t>Clara Barton Elementary School</t>
  </si>
  <si>
    <t>Community School</t>
  </si>
  <si>
    <t>Contractual Schools</t>
  </si>
  <si>
    <t>Dickinson Elementary</t>
  </si>
  <si>
    <t>Discovery School</t>
  </si>
  <si>
    <t>Eastlake High School</t>
  </si>
  <si>
    <t>Einstein Elementary</t>
  </si>
  <si>
    <t>Ella Baker Elementary School</t>
  </si>
  <si>
    <t>Emerson High School</t>
  </si>
  <si>
    <t>Emerson K-12</t>
  </si>
  <si>
    <t>Environmental &amp; Adventure School</t>
  </si>
  <si>
    <t>Explorer Community School</t>
  </si>
  <si>
    <t>Finn Hill Middle School</t>
  </si>
  <si>
    <t>Franklin Elementary</t>
  </si>
  <si>
    <t>Frost Elementary</t>
  </si>
  <si>
    <t>Futures School</t>
  </si>
  <si>
    <t>Inglewood Middle School</t>
  </si>
  <si>
    <t>International Community School</t>
  </si>
  <si>
    <t>Juanita Elementary</t>
  </si>
  <si>
    <t>Juanita High</t>
  </si>
  <si>
    <t>Kamiakin Middle School</t>
  </si>
  <si>
    <t>Keller Elementary</t>
  </si>
  <si>
    <t>Kirk Elementary</t>
  </si>
  <si>
    <t>Kirkland Middle School</t>
  </si>
  <si>
    <t>Lake Washington High</t>
  </si>
  <si>
    <t>Lakeview Elementary</t>
  </si>
  <si>
    <t>Mann Elementary</t>
  </si>
  <si>
    <t>Mcauliffe Elementary</t>
  </si>
  <si>
    <t>Mead Elementary</t>
  </si>
  <si>
    <t>Muir Elementary</t>
  </si>
  <si>
    <t>Northstar Middle School</t>
  </si>
  <si>
    <t>Ready Start Preschool</t>
  </si>
  <si>
    <t>Redmond Elementary</t>
  </si>
  <si>
    <t>Redmond High</t>
  </si>
  <si>
    <t>Redmond Middle School</t>
  </si>
  <si>
    <t>Renaissance School</t>
  </si>
  <si>
    <t>Rockwell Elementary</t>
  </si>
  <si>
    <t>Rosa Parks Elementary</t>
  </si>
  <si>
    <t>Rose Hill Elementary</t>
  </si>
  <si>
    <t>Rose Hill Middle School</t>
  </si>
  <si>
    <t>Rush Elementary</t>
  </si>
  <si>
    <t>Sandburg Elementary</t>
  </si>
  <si>
    <t>Smith Elementary</t>
  </si>
  <si>
    <t>Stella Schola</t>
  </si>
  <si>
    <t>Tesla STEM High School</t>
  </si>
  <si>
    <t>Thoreau Elementary</t>
  </si>
  <si>
    <t>Twain Elementary</t>
  </si>
  <si>
    <t>Washington Network for Innovative Careers</t>
  </si>
  <si>
    <t>Wilder Elementary</t>
  </si>
  <si>
    <t>Lakewood School District</t>
  </si>
  <si>
    <t>Cougar Creek Elementary School</t>
  </si>
  <si>
    <t>English Crossing Elementary</t>
  </si>
  <si>
    <t>Lakewood Elementary School</t>
  </si>
  <si>
    <t>Lakewood High School</t>
  </si>
  <si>
    <t>Lakewood Middle School</t>
  </si>
  <si>
    <t>Lakewood NWESD 189 Open Door Program</t>
  </si>
  <si>
    <t>Lamont School District</t>
  </si>
  <si>
    <t>Lamont Middle School</t>
  </si>
  <si>
    <t>Liberty School District</t>
  </si>
  <si>
    <t>Liberty High School</t>
  </si>
  <si>
    <t>Liberty Jr High &amp; Elementary</t>
  </si>
  <si>
    <t>Lind School District</t>
  </si>
  <si>
    <t>Lind Elementary School</t>
  </si>
  <si>
    <t>Lind-Ritzville High School</t>
  </si>
  <si>
    <t>Lind-Ritzville Middle School</t>
  </si>
  <si>
    <t>Longview School District</t>
  </si>
  <si>
    <t>Broadway Learning Center</t>
  </si>
  <si>
    <t>Columbia Heights Elementary</t>
  </si>
  <si>
    <t>Columbia Valley Garden Elem Schl</t>
  </si>
  <si>
    <t>Discovery High School-Achieve</t>
  </si>
  <si>
    <t>Kessler Elementary School</t>
  </si>
  <si>
    <t>Longview School District Special Services</t>
  </si>
  <si>
    <t>Mark Morris High School</t>
  </si>
  <si>
    <t>Mint Valley Elementary</t>
  </si>
  <si>
    <t>Monticello Middle School</t>
  </si>
  <si>
    <t>Mt. Solo Middle School</t>
  </si>
  <si>
    <t>Northlake Elementary School</t>
  </si>
  <si>
    <t>Olympic Elementary School</t>
  </si>
  <si>
    <t>R A Long High School</t>
  </si>
  <si>
    <t>Saint Helens Elementary</t>
  </si>
  <si>
    <t>Loon Lake School District</t>
  </si>
  <si>
    <t>Loon Lake Elementary School</t>
  </si>
  <si>
    <t>Loon Lake Homelink Program</t>
  </si>
  <si>
    <t>Lopez School District</t>
  </si>
  <si>
    <t>CVA-Lopez Island</t>
  </si>
  <si>
    <t>Decatur Elementary</t>
  </si>
  <si>
    <t>Lopez Elementary School</t>
  </si>
  <si>
    <t>Lopez Middle High School</t>
  </si>
  <si>
    <t>Lummi Tribal Agency</t>
  </si>
  <si>
    <t>Lummi Nation School</t>
  </si>
  <si>
    <t>Lyle School District</t>
  </si>
  <si>
    <t>Dallesport Elementary</t>
  </si>
  <si>
    <t>Lyle High School</t>
  </si>
  <si>
    <t>Lyle Middle School</t>
  </si>
  <si>
    <t>Student Success Open Doors Academy</t>
  </si>
  <si>
    <t>Lynden School District</t>
  </si>
  <si>
    <t>Fisher Elementary School</t>
  </si>
  <si>
    <t>IMPACT Reengagement Program</t>
  </si>
  <si>
    <t>Isom Elementary School</t>
  </si>
  <si>
    <t>Lynden Academy</t>
  </si>
  <si>
    <t>Lynden High School</t>
  </si>
  <si>
    <t>Lynden Middle School</t>
  </si>
  <si>
    <t>Lynden Special Services</t>
  </si>
  <si>
    <t>Vossbeck Elementary School</t>
  </si>
  <si>
    <t>Mabton School District</t>
  </si>
  <si>
    <t>Artz Fox Elementary</t>
  </si>
  <si>
    <t>Mabton Jr. Sr. High</t>
  </si>
  <si>
    <t>Mabton Step Up To College</t>
  </si>
  <si>
    <t>Mansfield School District</t>
  </si>
  <si>
    <t>Mansfield Elem and High School</t>
  </si>
  <si>
    <t>Manson School District</t>
  </si>
  <si>
    <t>Manson Elementary</t>
  </si>
  <si>
    <t>Manson High School</t>
  </si>
  <si>
    <t>Manson Middle School</t>
  </si>
  <si>
    <t>Mary M Knight School District</t>
  </si>
  <si>
    <t>Mary M. Knight School</t>
  </si>
  <si>
    <t>Washington Connections Academy</t>
  </si>
  <si>
    <t>Mary Walker School District</t>
  </si>
  <si>
    <t>Mary Walker Alternative High Schl</t>
  </si>
  <si>
    <t>Mary Walker High School</t>
  </si>
  <si>
    <t>Mary Walker Promise</t>
  </si>
  <si>
    <t>Springdale Academy</t>
  </si>
  <si>
    <t>Springdale Elementary</t>
  </si>
  <si>
    <t>Springdale Middle School</t>
  </si>
  <si>
    <t>Marysville School District</t>
  </si>
  <si>
    <t>10th Street School</t>
  </si>
  <si>
    <t>Allen Creek Elementary School</t>
  </si>
  <si>
    <t>Cedarcrest School</t>
  </si>
  <si>
    <t>ECEAP</t>
  </si>
  <si>
    <t>Grove Elementary</t>
  </si>
  <si>
    <t>Heritage School</t>
  </si>
  <si>
    <t>Kellogg Marsh Elementary School</t>
  </si>
  <si>
    <t>Liberty Elementary</t>
  </si>
  <si>
    <t>Marshall Elementary</t>
  </si>
  <si>
    <t>Marysville Coop Program</t>
  </si>
  <si>
    <t>Marysville Getchell High School</t>
  </si>
  <si>
    <t>Marysville Middle School</t>
  </si>
  <si>
    <t>Marysville NWESD 189 Youth Engagement</t>
  </si>
  <si>
    <t>Marysville Pilchuck High School</t>
  </si>
  <si>
    <t>Marysville SD Special</t>
  </si>
  <si>
    <t>Pinewood Elementary</t>
  </si>
  <si>
    <t>Quil Ceda Tulalip Elementary</t>
  </si>
  <si>
    <t>School Home Partnership Program</t>
  </si>
  <si>
    <t>Shoultes Elementary</t>
  </si>
  <si>
    <t>Sunnyside Elementary</t>
  </si>
  <si>
    <t>McCleary School District</t>
  </si>
  <si>
    <t>Mccleary Elem</t>
  </si>
  <si>
    <t>Mead School District</t>
  </si>
  <si>
    <t>Brentwood Elementary School</t>
  </si>
  <si>
    <t>Colbert Elementary School</t>
  </si>
  <si>
    <t>Farwell Elementary School</t>
  </si>
  <si>
    <t>Mead Alternative High School</t>
  </si>
  <si>
    <t>Mead Education Partnership Prog</t>
  </si>
  <si>
    <t>Mead Open Doors</t>
  </si>
  <si>
    <t>Mead PreSchool</t>
  </si>
  <si>
    <t>Mead Senior High School</t>
  </si>
  <si>
    <t>Meadow Ridge Elementary</t>
  </si>
  <si>
    <t>Mountainside Middle School</t>
  </si>
  <si>
    <t>Mt Spokane High School</t>
  </si>
  <si>
    <t>Prairie View Elementary</t>
  </si>
  <si>
    <t>Riverpoint Academy</t>
  </si>
  <si>
    <t>Shiloh Hills Elementary</t>
  </si>
  <si>
    <t>Medical Lake School District</t>
  </si>
  <si>
    <t>Hallett Elementary</t>
  </si>
  <si>
    <t>Medical Lake Endeavors</t>
  </si>
  <si>
    <t>Medical Lake High School</t>
  </si>
  <si>
    <t>Medical Lake Middle School</t>
  </si>
  <si>
    <t>Michael Anderson Elementary</t>
  </si>
  <si>
    <t>Mercer Island School District</t>
  </si>
  <si>
    <t>Island Park Elementary</t>
  </si>
  <si>
    <t>Islander Middle School</t>
  </si>
  <si>
    <t>Lakeridge Elementary School</t>
  </si>
  <si>
    <t>Mercer Island High School</t>
  </si>
  <si>
    <t>Northwood Elementary School</t>
  </si>
  <si>
    <t>West Mercer Elementary</t>
  </si>
  <si>
    <t>Meridian School District</t>
  </si>
  <si>
    <t>Irene Reither Elementary School</t>
  </si>
  <si>
    <t>Meridian High School</t>
  </si>
  <si>
    <t>Meridian Impact Re-Engagement</t>
  </si>
  <si>
    <t>Meridian Parent Partnership Program</t>
  </si>
  <si>
    <t>Meridian Special Programs</t>
  </si>
  <si>
    <t>Methow Valley School District</t>
  </si>
  <si>
    <t>Alternative School</t>
  </si>
  <si>
    <t>Home School Experience</t>
  </si>
  <si>
    <t>Liberty Bell Jr Sr High</t>
  </si>
  <si>
    <t>Methow Valley Elementary</t>
  </si>
  <si>
    <t>Mill A School District</t>
  </si>
  <si>
    <t>Mill A Elementary School</t>
  </si>
  <si>
    <t>Pacific Crest Innovation Academy</t>
  </si>
  <si>
    <t>Monroe School District</t>
  </si>
  <si>
    <t>Chain Lake Elementary School</t>
  </si>
  <si>
    <t>Frank Wagner Elementary</t>
  </si>
  <si>
    <t>Fryelands Elementary</t>
  </si>
  <si>
    <t>Hidden River Middle School</t>
  </si>
  <si>
    <t>Leaders In Learning</t>
  </si>
  <si>
    <t>Maltby Elementary</t>
  </si>
  <si>
    <t>Monroe High School</t>
  </si>
  <si>
    <t>Monroe Special Ed Preschool</t>
  </si>
  <si>
    <t>Out Of District Special Ed</t>
  </si>
  <si>
    <t>Park Place Middle School</t>
  </si>
  <si>
    <t>Salem Woods Elementary School</t>
  </si>
  <si>
    <t>Shoreline-Monroe High School</t>
  </si>
  <si>
    <t>Sky Valley Education Center</t>
  </si>
  <si>
    <t>Youth Re-Engagement</t>
  </si>
  <si>
    <t>Montesano School District</t>
  </si>
  <si>
    <t>Beacon Avenue Elementary School</t>
  </si>
  <si>
    <t>Montesano Jr-Sr High</t>
  </si>
  <si>
    <t>Simpson Avenue Elementary</t>
  </si>
  <si>
    <t>Morton School District</t>
  </si>
  <si>
    <t>Morton Elementary School</t>
  </si>
  <si>
    <t>Morton Junior-Senior High</t>
  </si>
  <si>
    <t>Moses Lake School District</t>
  </si>
  <si>
    <t>Chief Moses Middle School</t>
  </si>
  <si>
    <t xml:space="preserve">Columbia Basin Technical Skills Center </t>
  </si>
  <si>
    <t xml:space="preserve">Endeavor Middle School </t>
  </si>
  <si>
    <t>Garden Heights Elementary</t>
  </si>
  <si>
    <t>Knolls Vista Elementary</t>
  </si>
  <si>
    <t>Lakeview Terrace Elementary</t>
  </si>
  <si>
    <t>Larson Heights Elementary</t>
  </si>
  <si>
    <t>Longview Elementary</t>
  </si>
  <si>
    <t>Moses Lake High School</t>
  </si>
  <si>
    <t>North Elementary</t>
  </si>
  <si>
    <t xml:space="preserve">Park Orchard Elementary School </t>
  </si>
  <si>
    <t>Peninsula Elementary</t>
  </si>
  <si>
    <t>Sage Point Elementary School</t>
  </si>
  <si>
    <t>Skill Source Learning Center</t>
  </si>
  <si>
    <t>Mossyrock School District</t>
  </si>
  <si>
    <t>Mossyrock Academy</t>
  </si>
  <si>
    <t>Mossyrock Elementary School</t>
  </si>
  <si>
    <t>Mossyrock Jr./Sr. High School</t>
  </si>
  <si>
    <t>Mount Adams School District</t>
  </si>
  <si>
    <t>Harrah Elementary School</t>
  </si>
  <si>
    <t>Mount Adams Middle School</t>
  </si>
  <si>
    <t>White Swan High School</t>
  </si>
  <si>
    <t>Mount Baker School District</t>
  </si>
  <si>
    <t>Acme Elementary</t>
  </si>
  <si>
    <t>Educational Resource Center</t>
  </si>
  <si>
    <t>Harmony Elementary</t>
  </si>
  <si>
    <t>Kendall Elementary</t>
  </si>
  <si>
    <t>Mount Baker Academy</t>
  </si>
  <si>
    <t>Mount Baker Junior High</t>
  </si>
  <si>
    <t>Mount Baker Senior High</t>
  </si>
  <si>
    <t>Mount Pleasant School District</t>
  </si>
  <si>
    <t>Mount Pleasant School</t>
  </si>
  <si>
    <t>Mount Vernon School District</t>
  </si>
  <si>
    <t xml:space="preserve">Centennial Elementary School </t>
  </si>
  <si>
    <t>La Venture Middle School</t>
  </si>
  <si>
    <t>Little Mountain Elementary</t>
  </si>
  <si>
    <t>Mount Baker Middle School</t>
  </si>
  <si>
    <t>Mount Vernon High School</t>
  </si>
  <si>
    <t>Mount Vernon Open Doors</t>
  </si>
  <si>
    <t>Mount Vernon Special Ed</t>
  </si>
  <si>
    <t>Northwest Career &amp; Technical Academy</t>
  </si>
  <si>
    <t>Skagit Academy</t>
  </si>
  <si>
    <t>Muckleshoot Indian Tribe</t>
  </si>
  <si>
    <t>Muckleshoot Tribal School</t>
  </si>
  <si>
    <t>Mukilteo School District</t>
  </si>
  <si>
    <t>ACES High School</t>
  </si>
  <si>
    <t>Endeavour Elementary</t>
  </si>
  <si>
    <t>Explorer Middle School</t>
  </si>
  <si>
    <t>Fairmount Elementary</t>
  </si>
  <si>
    <t>Harbour Pointe Middle School</t>
  </si>
  <si>
    <t>Horizon Elementary</t>
  </si>
  <si>
    <t>Kamiak High School</t>
  </si>
  <si>
    <t>Lake Stickney Elementary School</t>
  </si>
  <si>
    <t>Mariner High School</t>
  </si>
  <si>
    <t>Mukilteo Elementary</t>
  </si>
  <si>
    <t>Mukilteo Reengagement Academy Open Doors</t>
  </si>
  <si>
    <t>Odyssey Elementary</t>
  </si>
  <si>
    <t>Olivia Park Elementary</t>
  </si>
  <si>
    <t>Olympic View Middle School</t>
  </si>
  <si>
    <t>Pathfinder Kindergarten Center</t>
  </si>
  <si>
    <t>Picnic Point Elementary</t>
  </si>
  <si>
    <t>Serene Lake Elementary</t>
  </si>
  <si>
    <t xml:space="preserve">Sno-Isle Skills Center </t>
  </si>
  <si>
    <t>Voyager Middle School</t>
  </si>
  <si>
    <t>Naches Valley School District</t>
  </si>
  <si>
    <t>Naches Valley Elementary School</t>
  </si>
  <si>
    <t>Naches Valley High School</t>
  </si>
  <si>
    <t>Naches Valley Middle School</t>
  </si>
  <si>
    <t>Napavine School District</t>
  </si>
  <si>
    <t>Napavine Elementary</t>
  </si>
  <si>
    <t>Napavine Jr Sr High School</t>
  </si>
  <si>
    <t>Naselle-Grays River Valley School District</t>
  </si>
  <si>
    <t>Naselle Elementary</t>
  </si>
  <si>
    <t>Naselle Jr Sr High Schools</t>
  </si>
  <si>
    <t>Naselle Youth Camp School</t>
  </si>
  <si>
    <t>Nespelem School District #14</t>
  </si>
  <si>
    <t>Nespelem Elementary</t>
  </si>
  <si>
    <t>Newport School District</t>
  </si>
  <si>
    <t>Newport High School</t>
  </si>
  <si>
    <t>Pend Oreille River School</t>
  </si>
  <si>
    <t>Sadie Halstead Middle School</t>
  </si>
  <si>
    <t>Stratton Elementary</t>
  </si>
  <si>
    <t>Nine Mile Falls School District</t>
  </si>
  <si>
    <t>Lake Spokane Elementary</t>
  </si>
  <si>
    <t>Lakeside High School</t>
  </si>
  <si>
    <t>Lakeside Middle School</t>
  </si>
  <si>
    <t>Nine Mile Falls Elementary</t>
  </si>
  <si>
    <t>Re-Engagement School (Nine Mile Falls)</t>
  </si>
  <si>
    <t>Nooksack Valley School District</t>
  </si>
  <si>
    <t>Everson Elementary</t>
  </si>
  <si>
    <t>Nooksack Elementary</t>
  </si>
  <si>
    <t>Nooksack Valley High School</t>
  </si>
  <si>
    <t>Nooksack Valley Middle School</t>
  </si>
  <si>
    <t>Nooksack Valley Special Services</t>
  </si>
  <si>
    <t>Sumas Elementary</t>
  </si>
  <si>
    <t>North Beach School District</t>
  </si>
  <si>
    <t>North Beach Junior High School</t>
  </si>
  <si>
    <t>North Beach Senior High School</t>
  </si>
  <si>
    <t>Ocean Shores Elementary</t>
  </si>
  <si>
    <t>Pacific Beach Elementary School</t>
  </si>
  <si>
    <t>North Franklin School District</t>
  </si>
  <si>
    <t>Basin City Elem</t>
  </si>
  <si>
    <t>Connell Elem</t>
  </si>
  <si>
    <t>Connell High School</t>
  </si>
  <si>
    <t>Connell Preschool</t>
  </si>
  <si>
    <t>CRCC-Open Doors</t>
  </si>
  <si>
    <t>Mesa Elem</t>
  </si>
  <si>
    <t>North Franklin Virtual Academy</t>
  </si>
  <si>
    <t>Palouse Junction High School</t>
  </si>
  <si>
    <t>Robert L Olds Junior High School</t>
  </si>
  <si>
    <t>North Kitsap School District</t>
  </si>
  <si>
    <t>Choice Academy</t>
  </si>
  <si>
    <t>David Wolfle Elementary</t>
  </si>
  <si>
    <t>Hilder Pearson Elementary</t>
  </si>
  <si>
    <t>Kingston High School</t>
  </si>
  <si>
    <t>Kingston Middle School</t>
  </si>
  <si>
    <t>Middle School Options</t>
  </si>
  <si>
    <t>North Kitsap High School</t>
  </si>
  <si>
    <t>Pal Program</t>
  </si>
  <si>
    <t>Poulsbo Elementary School</t>
  </si>
  <si>
    <t>Poulsbo Middle School</t>
  </si>
  <si>
    <t>Richard Gordon Elementary</t>
  </si>
  <si>
    <t>Special Programs</t>
  </si>
  <si>
    <t>Suquamish Elementary School</t>
  </si>
  <si>
    <t>Vinland Elementary</t>
  </si>
  <si>
    <t>North Mason School District</t>
  </si>
  <si>
    <t>Belfair Elementary</t>
  </si>
  <si>
    <t>Hawkins Middle School</t>
  </si>
  <si>
    <t>James A. Taylor High School</t>
  </si>
  <si>
    <t>Mary E. Theler Early Learning Center</t>
  </si>
  <si>
    <t>North Mason Homelink Program</t>
  </si>
  <si>
    <t>North Mason Senior High School</t>
  </si>
  <si>
    <t>Sand Hill Elementary</t>
  </si>
  <si>
    <t>North River School District</t>
  </si>
  <si>
    <t>North River School</t>
  </si>
  <si>
    <t>North Thurston Public Schools</t>
  </si>
  <si>
    <t>Aspire Middle School</t>
  </si>
  <si>
    <t>Chambers Prairie Elementary School</t>
  </si>
  <si>
    <t>Evergreen Forest Elementary</t>
  </si>
  <si>
    <t>Horizons Elementary</t>
  </si>
  <si>
    <t>Komachin Middle School</t>
  </si>
  <si>
    <t>Lacey Elementary</t>
  </si>
  <si>
    <t>Lakes Elementary School</t>
  </si>
  <si>
    <t>Lydia Hawk Elementary</t>
  </si>
  <si>
    <t>Meadows Elementary</t>
  </si>
  <si>
    <t>Mountain View Elementary</t>
  </si>
  <si>
    <t>Nisqually Middle School</t>
  </si>
  <si>
    <t>North Thurston High School</t>
  </si>
  <si>
    <t>Olympic View Elementary</t>
  </si>
  <si>
    <t>Pleasant Glade Elementary</t>
  </si>
  <si>
    <t>River Ridge High School</t>
  </si>
  <si>
    <t>Salish Middle School</t>
  </si>
  <si>
    <t>Seven Oaks Elementary</t>
  </si>
  <si>
    <t>South Bay Elementary</t>
  </si>
  <si>
    <t>South Sound High School</t>
  </si>
  <si>
    <t>Timberline High School</t>
  </si>
  <si>
    <t>Woodland Elementary</t>
  </si>
  <si>
    <t>Northport School District</t>
  </si>
  <si>
    <t>Northport Elementary School</t>
  </si>
  <si>
    <t>Northport High School</t>
  </si>
  <si>
    <t>Northport Homelink Program</t>
  </si>
  <si>
    <t>Northshore School District</t>
  </si>
  <si>
    <t>Arrowhead Elementary</t>
  </si>
  <si>
    <t>Bear Creek Elementary</t>
  </si>
  <si>
    <t>Bothell High School</t>
  </si>
  <si>
    <t>C O Sorenson</t>
  </si>
  <si>
    <t>Canyon Creek Elementary</t>
  </si>
  <si>
    <t>Canyon Park Middle School</t>
  </si>
  <si>
    <t>Cottage Lake Elementary</t>
  </si>
  <si>
    <t>Crystal Springs Elementary</t>
  </si>
  <si>
    <t>East Ridge Elementary</t>
  </si>
  <si>
    <t>Fernwood Elementary</t>
  </si>
  <si>
    <t>Frank Love Elementary</t>
  </si>
  <si>
    <t>Hollywood Hill Elementary</t>
  </si>
  <si>
    <t>Inglemoor HS</t>
  </si>
  <si>
    <t>Kenmore Elementary</t>
  </si>
  <si>
    <t>Kenmore Middle School</t>
  </si>
  <si>
    <t>Kokanee Elementary</t>
  </si>
  <si>
    <t>Leota Middle School</t>
  </si>
  <si>
    <t>Lockwood Elementary</t>
  </si>
  <si>
    <t>Maywood Hills Elementary</t>
  </si>
  <si>
    <t>Moorlands Elementary</t>
  </si>
  <si>
    <t>North Creek High School</t>
  </si>
  <si>
    <t>Northshore Middle School</t>
  </si>
  <si>
    <t>Northshore Networks</t>
  </si>
  <si>
    <t>Northshore Online School</t>
  </si>
  <si>
    <t>Northshore Special Services</t>
  </si>
  <si>
    <t>Secondary Academy for Success</t>
  </si>
  <si>
    <t>Shelton View Elementary</t>
  </si>
  <si>
    <t>Skyview Middle School</t>
  </si>
  <si>
    <t>Timbercrest Middle School</t>
  </si>
  <si>
    <t>Wellington Elementary</t>
  </si>
  <si>
    <t>Westhill Elementary</t>
  </si>
  <si>
    <t>Woodin Elementary</t>
  </si>
  <si>
    <t>Woodinville Community Center</t>
  </si>
  <si>
    <t>Woodinville HS</t>
  </si>
  <si>
    <t>Woodmoor Elementary</t>
  </si>
  <si>
    <t>Northwest Educational Service District 189</t>
  </si>
  <si>
    <t>Open Doors - Youth Reengagement Program</t>
  </si>
  <si>
    <t>Pass Program</t>
  </si>
  <si>
    <t>Skagit County Detention Center</t>
  </si>
  <si>
    <t>Snohomish Detention Center</t>
  </si>
  <si>
    <t>Whatcom Co Detention Center</t>
  </si>
  <si>
    <t>Oak Harbor School District</t>
  </si>
  <si>
    <t>Broadview Elementary</t>
  </si>
  <si>
    <t>Crescent Harbor Elem</t>
  </si>
  <si>
    <t>Hillcrest Elementary</t>
  </si>
  <si>
    <t>Homeconnection</t>
  </si>
  <si>
    <t>iGrad Academy</t>
  </si>
  <si>
    <t>North Whidbey Middle School</t>
  </si>
  <si>
    <t>Oak Harbor Elementary</t>
  </si>
  <si>
    <t>Oak Harbor High School</t>
  </si>
  <si>
    <t>Oak Harbor Intermediate School</t>
  </si>
  <si>
    <t>Olympic View Elem</t>
  </si>
  <si>
    <t>Oakesdale School District</t>
  </si>
  <si>
    <t>Oakesdale Elementary School</t>
  </si>
  <si>
    <t>Oakesdale High School</t>
  </si>
  <si>
    <t>Oakville School District</t>
  </si>
  <si>
    <t>Oakville Elementary</t>
  </si>
  <si>
    <t>Oakville High School</t>
  </si>
  <si>
    <t>Ocean Beach School District</t>
  </si>
  <si>
    <t>Hilltop School</t>
  </si>
  <si>
    <t>Ilwaco High School</t>
  </si>
  <si>
    <t>Long Beach Elementary School</t>
  </si>
  <si>
    <t>Ocean Beach Alternative School</t>
  </si>
  <si>
    <t>Ocean Beach Early Childhood Center</t>
  </si>
  <si>
    <t>Ocean Park Elementary</t>
  </si>
  <si>
    <t>Ocosta School District</t>
  </si>
  <si>
    <t>Ocosta Elementary School</t>
  </si>
  <si>
    <t>Ocosta Junior - Senior High</t>
  </si>
  <si>
    <t>Odessa School District</t>
  </si>
  <si>
    <t>Odessa High School</t>
  </si>
  <si>
    <t>P C Jantz Elementary</t>
  </si>
  <si>
    <t>Office of the Governor (Sch for Blind)</t>
  </si>
  <si>
    <t>Washington State School for the Blind</t>
  </si>
  <si>
    <t>Okanogan School District</t>
  </si>
  <si>
    <t>Grainger Elementary</t>
  </si>
  <si>
    <t>Okanogan Alternative High School</t>
  </si>
  <si>
    <t>Okanogan Co Juvenile Detention</t>
  </si>
  <si>
    <t>Okanogan High School</t>
  </si>
  <si>
    <t>Okanogan Middle School</t>
  </si>
  <si>
    <t>Okanogan Outreach Alternative School</t>
  </si>
  <si>
    <t>Olympia School District</t>
  </si>
  <si>
    <t>Avanti High School</t>
  </si>
  <si>
    <t>Boston Harbor Elementary</t>
  </si>
  <si>
    <t>Capital High School</t>
  </si>
  <si>
    <t>Centennial Elementary Olympia</t>
  </si>
  <si>
    <t>Jefferson Middle School</t>
  </si>
  <si>
    <t>Julia Butler Hansen Elementary</t>
  </si>
  <si>
    <t>Leland P Brown Elementary</t>
  </si>
  <si>
    <t>Madison Elementary School</t>
  </si>
  <si>
    <t>McKenny Elementary</t>
  </si>
  <si>
    <t>McLane Elementary School</t>
  </si>
  <si>
    <t>Olympia High School</t>
  </si>
  <si>
    <t>Olympia Regional Learning Academy</t>
  </si>
  <si>
    <t>Olympia Regional Learning Academy - Montessori School</t>
  </si>
  <si>
    <t>Reeves Middle School</t>
  </si>
  <si>
    <t>Thurgood Marshall Middle School</t>
  </si>
  <si>
    <t>Touchstone</t>
  </si>
  <si>
    <t>Washington Middle School</t>
  </si>
  <si>
    <t>Olympic Educational Service District 114</t>
  </si>
  <si>
    <t>Clallam Co Juvenile Detention</t>
  </si>
  <si>
    <t>Kitsap Co Detention Ctr</t>
  </si>
  <si>
    <t>Omak School District</t>
  </si>
  <si>
    <t>E Omak Elementary</t>
  </si>
  <si>
    <t>Highlands High School</t>
  </si>
  <si>
    <t>N Omak Elementary</t>
  </si>
  <si>
    <t>Omak High School</t>
  </si>
  <si>
    <t>Omak Middle School</t>
  </si>
  <si>
    <t>Paschal Sherman</t>
  </si>
  <si>
    <t>Washington Virtual Academy Omak Elementary</t>
  </si>
  <si>
    <t>Washington Virtual Academy Omak High School</t>
  </si>
  <si>
    <t>Washington Virtual Academy Omak Middle School</t>
  </si>
  <si>
    <t>Onalaska School District</t>
  </si>
  <si>
    <t>Onalaska Elementary School</t>
  </si>
  <si>
    <t>Onalaska High School</t>
  </si>
  <si>
    <t xml:space="preserve">Onalaska Middle School </t>
  </si>
  <si>
    <t>Onion Creek School District</t>
  </si>
  <si>
    <t>Onion Creek Elementary</t>
  </si>
  <si>
    <t>Orcas Island School District</t>
  </si>
  <si>
    <t>OASIS K-12</t>
  </si>
  <si>
    <t>Orcas Island Elementary School</t>
  </si>
  <si>
    <t>Orcas Island High School</t>
  </si>
  <si>
    <t>Orcas Island Middle School</t>
  </si>
  <si>
    <t>Waldron Island School</t>
  </si>
  <si>
    <t>Orchard Prairie School District</t>
  </si>
  <si>
    <t>Orchard Prairie Elementary</t>
  </si>
  <si>
    <t>Orient School District</t>
  </si>
  <si>
    <t>Orient Elem</t>
  </si>
  <si>
    <t>Orondo School District</t>
  </si>
  <si>
    <t>Orondo Elementary and Middle School</t>
  </si>
  <si>
    <t>Oroville School District</t>
  </si>
  <si>
    <t>Oroville Elementary</t>
  </si>
  <si>
    <t>Oroville Middle-High School</t>
  </si>
  <si>
    <t>Orting School District</t>
  </si>
  <si>
    <t>Orting High School</t>
  </si>
  <si>
    <t>Orting Middle School</t>
  </si>
  <si>
    <t>Orting Primary School</t>
  </si>
  <si>
    <t>Orting Special Education</t>
  </si>
  <si>
    <t>Ptarmigan Ridge Elementary School</t>
  </si>
  <si>
    <t>Othello School District</t>
  </si>
  <si>
    <t>Desert Oasis High School</t>
  </si>
  <si>
    <t>Hiawatha Elementary School</t>
  </si>
  <si>
    <t>Lutacaga Elementary</t>
  </si>
  <si>
    <t>McFarland Middle School</t>
  </si>
  <si>
    <t>Othello High School</t>
  </si>
  <si>
    <t>Scootney Springs Elementary</t>
  </si>
  <si>
    <t>Wahitis Elementary School</t>
  </si>
  <si>
    <t>Palisades School District</t>
  </si>
  <si>
    <t>Palisades Elementary School</t>
  </si>
  <si>
    <t>Palouse School District</t>
  </si>
  <si>
    <t>Palouse at Garfield Middle School</t>
  </si>
  <si>
    <t>Palouse Elementary</t>
  </si>
  <si>
    <t>Palouse High School</t>
  </si>
  <si>
    <t>Pasco School District</t>
  </si>
  <si>
    <t>Barbara McClintock STEM Elementary</t>
  </si>
  <si>
    <t>Captain Gray STEM Elementary</t>
  </si>
  <si>
    <t>Chiawana High School</t>
  </si>
  <si>
    <t>Edwin Markham Elementary</t>
  </si>
  <si>
    <t>Ellen Ochoa Middle School</t>
  </si>
  <si>
    <t>Internet Pasco Academy of Learning</t>
  </si>
  <si>
    <t>James McGee Elementary</t>
  </si>
  <si>
    <t>Longfellow Elementary</t>
  </si>
  <si>
    <t>Marie Curie STEM Elementary</t>
  </si>
  <si>
    <t>Mark Twain Elementary</t>
  </si>
  <si>
    <t>Maya Angelou Elementary</t>
  </si>
  <si>
    <t>Mcloughlin Middle School</t>
  </si>
  <si>
    <t>New Horizons High School</t>
  </si>
  <si>
    <t>Pasco Early Childhood</t>
  </si>
  <si>
    <t>Pasco Early Learning Center</t>
  </si>
  <si>
    <t>Pasco Senior High School</t>
  </si>
  <si>
    <t>Robert Frost Elementary</t>
  </si>
  <si>
    <t>Rosalind Franklin STEM Elementary</t>
  </si>
  <si>
    <t>Rowena Chess Elementary</t>
  </si>
  <si>
    <t>Ruth Livingston Elementary</t>
  </si>
  <si>
    <t>Stevens Middle School</t>
  </si>
  <si>
    <t>Virgie Robinson Elementary</t>
  </si>
  <si>
    <t>Pateros School District</t>
  </si>
  <si>
    <t>Pateros Elementary</t>
  </si>
  <si>
    <t>Pateros High School</t>
  </si>
  <si>
    <t>Paterson School District</t>
  </si>
  <si>
    <t>Paterson Elementary School</t>
  </si>
  <si>
    <t>Pe Ell School District</t>
  </si>
  <si>
    <t>Pe Ell School</t>
  </si>
  <si>
    <t>Trojan Alternative School</t>
  </si>
  <si>
    <t>Peninsula School District</t>
  </si>
  <si>
    <t>Artondale Elementary School</t>
  </si>
  <si>
    <t>Discovery Elementary School</t>
  </si>
  <si>
    <t>Gig Harbor High</t>
  </si>
  <si>
    <t>Goodman Middle School</t>
  </si>
  <si>
    <t>Harbor Heights Elementary School</t>
  </si>
  <si>
    <t>Harbor Ridge Middle School</t>
  </si>
  <si>
    <t>Henderson Bay Alt High School</t>
  </si>
  <si>
    <t>Key Peninsula Middle School</t>
  </si>
  <si>
    <t>Kopachuck Middle School</t>
  </si>
  <si>
    <t>Minter Creek Elementary</t>
  </si>
  <si>
    <t>Peninsula High School</t>
  </si>
  <si>
    <t>Purdy Elementary School</t>
  </si>
  <si>
    <t>Vaughn Elementary School</t>
  </si>
  <si>
    <t>Voyager Elementary</t>
  </si>
  <si>
    <t>Pioneer School District</t>
  </si>
  <si>
    <t>Pioneer Middle School</t>
  </si>
  <si>
    <t>Pomeroy School District</t>
  </si>
  <si>
    <t>Pomeroy Elementary School</t>
  </si>
  <si>
    <t>Pomeroy Jr Sr High School</t>
  </si>
  <si>
    <t>Port Angeles School District</t>
  </si>
  <si>
    <t>Dry Creek Elementary</t>
  </si>
  <si>
    <t>Hamilton Elementary</t>
  </si>
  <si>
    <t>Lincoln High School</t>
  </si>
  <si>
    <t>Parents As Partners</t>
  </si>
  <si>
    <t>Port Angeles High School</t>
  </si>
  <si>
    <t>Port Townsend School District</t>
  </si>
  <si>
    <t>Blue Heron Middle School</t>
  </si>
  <si>
    <t>OCEAN</t>
  </si>
  <si>
    <t>Port Townsend High School</t>
  </si>
  <si>
    <t>Salish Coast Elementary</t>
  </si>
  <si>
    <t>Prescott School District</t>
  </si>
  <si>
    <t>Prescott Elementary School</t>
  </si>
  <si>
    <t>Prescott Jr Sr High</t>
  </si>
  <si>
    <t>Prescott Special Ed Pre-school</t>
  </si>
  <si>
    <t>PRIDE Prep Charter School District</t>
  </si>
  <si>
    <t xml:space="preserve">PRIDE Prep School </t>
  </si>
  <si>
    <t>Prosser School District</t>
  </si>
  <si>
    <t>Housel Middle School</t>
  </si>
  <si>
    <t>Keene-Riverview Elementary</t>
  </si>
  <si>
    <t>Prosser Heights Elementary</t>
  </si>
  <si>
    <t>Prosser High School</t>
  </si>
  <si>
    <t>PSD U Grad Academy</t>
  </si>
  <si>
    <t>Whitstran Elementary</t>
  </si>
  <si>
    <t>Pullman School District</t>
  </si>
  <si>
    <t>Pullman High School</t>
  </si>
  <si>
    <t>Puyallup School District</t>
  </si>
  <si>
    <t>Aylen Jr High</t>
  </si>
  <si>
    <t>Ballou Jr High</t>
  </si>
  <si>
    <t>Brouillet Elementary</t>
  </si>
  <si>
    <t>Edgemont Jr High</t>
  </si>
  <si>
    <t>Edgerton Elementary</t>
  </si>
  <si>
    <t>Emerald Ridge High School</t>
  </si>
  <si>
    <t>Ferrucci Jr High</t>
  </si>
  <si>
    <t>Firgrove Elementary</t>
  </si>
  <si>
    <t>Fruitland Elementary</t>
  </si>
  <si>
    <t>Glacier View Junior High</t>
  </si>
  <si>
    <t>Hunt Elementary</t>
  </si>
  <si>
    <t>Kalles Junior High</t>
  </si>
  <si>
    <t>Karshner Elementary</t>
  </si>
  <si>
    <t>Maplewood Elementary</t>
  </si>
  <si>
    <t>Meeker Elementary</t>
  </si>
  <si>
    <t>Mt View Elementary</t>
  </si>
  <si>
    <t>Northwood Elementary</t>
  </si>
  <si>
    <t>Pope Elementary</t>
  </si>
  <si>
    <t>PSD Special Services</t>
  </si>
  <si>
    <t>Puyallup High School</t>
  </si>
  <si>
    <t>Puyallup Online Academy/POA</t>
  </si>
  <si>
    <t>Puyallup Open Doors/POD</t>
  </si>
  <si>
    <t>Puyallup Parent Partnership Program</t>
  </si>
  <si>
    <t>Ridgecrest Elementary</t>
  </si>
  <si>
    <t>Rogers High School</t>
  </si>
  <si>
    <t>Shaw Road Elementary</t>
  </si>
  <si>
    <t>Spinning Elementary</t>
  </si>
  <si>
    <t>Stahl Junior High</t>
  </si>
  <si>
    <t>Stewart Elementary</t>
  </si>
  <si>
    <t>Walker High School</t>
  </si>
  <si>
    <t>Waller Road Elementary</t>
  </si>
  <si>
    <t>Wildwood Elementary</t>
  </si>
  <si>
    <t>Zeiger Elementary</t>
  </si>
  <si>
    <t>Queets-Clearwater School District</t>
  </si>
  <si>
    <t>Queets-Clearwater Elementary</t>
  </si>
  <si>
    <t>Quilcene School District</t>
  </si>
  <si>
    <t>Crossroads Community School</t>
  </si>
  <si>
    <t>PEARL</t>
  </si>
  <si>
    <t>Quilcene High And Elementary</t>
  </si>
  <si>
    <t>Quileute Tribal School District</t>
  </si>
  <si>
    <t>Quileute Tribal School</t>
  </si>
  <si>
    <t>Quillayute Valley School District</t>
  </si>
  <si>
    <t>District Run Home School</t>
  </si>
  <si>
    <t>Forks Alternative School</t>
  </si>
  <si>
    <t>Forks Elementary School</t>
  </si>
  <si>
    <t>Forks Intermediate School</t>
  </si>
  <si>
    <t>Forks Junior-Senior High School</t>
  </si>
  <si>
    <t>Insight School of WA Open Doors Program</t>
  </si>
  <si>
    <t>Insight School of Washington</t>
  </si>
  <si>
    <t>Quincy School District</t>
  </si>
  <si>
    <t>George Elementary</t>
  </si>
  <si>
    <t>Monument Elementary</t>
  </si>
  <si>
    <t>Quincy High School</t>
  </si>
  <si>
    <t>Quincy Innovation Academy</t>
  </si>
  <si>
    <t>Quincy Junior High</t>
  </si>
  <si>
    <t>Rainier Prep Charter School District</t>
  </si>
  <si>
    <t>Rainier Prep</t>
  </si>
  <si>
    <t>Rainier School District</t>
  </si>
  <si>
    <t>Rainier Senior High School</t>
  </si>
  <si>
    <t>Raymond School District</t>
  </si>
  <si>
    <t>Developmental Preschool</t>
  </si>
  <si>
    <t>Raymond Elementary School</t>
  </si>
  <si>
    <t>Raymond Jr Sr High School</t>
  </si>
  <si>
    <t>Reardan-Edwall School District</t>
  </si>
  <si>
    <t>Reardan Elementary School</t>
  </si>
  <si>
    <t>Reardan Middle-Senior High School</t>
  </si>
  <si>
    <t>Renton School District</t>
  </si>
  <si>
    <t>Benson Hill Elementary School</t>
  </si>
  <si>
    <t>Bryn Mawr Elementary School</t>
  </si>
  <si>
    <t>Campbell Hill Elementary School</t>
  </si>
  <si>
    <t>Dimmitt Middle School</t>
  </si>
  <si>
    <t>Griffin Home</t>
  </si>
  <si>
    <t>H.O.M.E. Program</t>
  </si>
  <si>
    <t>Hazen Senior High School</t>
  </si>
  <si>
    <t>Highlands Elementary School</t>
  </si>
  <si>
    <t>Honey Dew Elementary</t>
  </si>
  <si>
    <t>Kennydale Elementary School</t>
  </si>
  <si>
    <t>Lindbergh Senior High School</t>
  </si>
  <si>
    <t>Maplewood Heights Elementary School</t>
  </si>
  <si>
    <t>McKnight Middle School</t>
  </si>
  <si>
    <t>Meadow Crest Early Childhood Education Center</t>
  </si>
  <si>
    <t>Nelsen Middle School</t>
  </si>
  <si>
    <t>Open Door Youth Reengagement Renton</t>
  </si>
  <si>
    <t>Out Of District Facility</t>
  </si>
  <si>
    <t>Renton Academy</t>
  </si>
  <si>
    <t>Renton Park Elementary School</t>
  </si>
  <si>
    <t>Renton Senior High School</t>
  </si>
  <si>
    <t>Risdon Middle School</t>
  </si>
  <si>
    <t>Sartori Elementary School</t>
  </si>
  <si>
    <t>Sierra Heights Elementary School</t>
  </si>
  <si>
    <t>Talbot Hill Elementary School</t>
  </si>
  <si>
    <t>Talley High School</t>
  </si>
  <si>
    <t>Tiffany Park Elementary School</t>
  </si>
  <si>
    <t>Republic School District</t>
  </si>
  <si>
    <t>Republic Elementary School</t>
  </si>
  <si>
    <t>Republic Junior High</t>
  </si>
  <si>
    <t>Republic Parent Partner</t>
  </si>
  <si>
    <t>Republic Senior High School</t>
  </si>
  <si>
    <t>Richland School District</t>
  </si>
  <si>
    <t>Badger Mountain Elementary</t>
  </si>
  <si>
    <t>Carmichael Middle School</t>
  </si>
  <si>
    <t>Chief Joseph Middle School</t>
  </si>
  <si>
    <t>Enterprise Middle School</t>
  </si>
  <si>
    <t>Hanford High School</t>
  </si>
  <si>
    <t>Jason Lee Elementary School</t>
  </si>
  <si>
    <t>Leona Libby Middle School</t>
  </si>
  <si>
    <t>Lewis &amp; Clark Elementary School</t>
  </si>
  <si>
    <t>Marcus Whitman Elementary</t>
  </si>
  <si>
    <t>Orchard Elementary</t>
  </si>
  <si>
    <t>Richland High School</t>
  </si>
  <si>
    <t>Richland School District Early Learning Center</t>
  </si>
  <si>
    <t>Rivers Edge High School</t>
  </si>
  <si>
    <t>Sacajawea Elementary</t>
  </si>
  <si>
    <t>Tapteal Elementary School</t>
  </si>
  <si>
    <t>Three Rivers Home Link</t>
  </si>
  <si>
    <t>Twin Rivers Group Home</t>
  </si>
  <si>
    <t>White Bluffs Elementary School</t>
  </si>
  <si>
    <t>William Wiley Elementary School</t>
  </si>
  <si>
    <t>Ridgefield School District</t>
  </si>
  <si>
    <t>Ridgefield High School</t>
  </si>
  <si>
    <t>South Ridge Elementary</t>
  </si>
  <si>
    <t>Sunset Ridge Intermediate School</t>
  </si>
  <si>
    <t>Union Ridge Elementary</t>
  </si>
  <si>
    <t>View Ridge Middle School</t>
  </si>
  <si>
    <t>Ritzville School District</t>
  </si>
  <si>
    <t>Lind Ritzville Middle School</t>
  </si>
  <si>
    <t>Ritzville Grade School</t>
  </si>
  <si>
    <t>Ritzville High School</t>
  </si>
  <si>
    <t>Riverside School District</t>
  </si>
  <si>
    <t>Chattaroy Elementary</t>
  </si>
  <si>
    <t>Independent Scholar</t>
  </si>
  <si>
    <t>Riverside Elementary</t>
  </si>
  <si>
    <t>Riverside High School</t>
  </si>
  <si>
    <t>Riverside Middle School</t>
  </si>
  <si>
    <t>Riverview School District</t>
  </si>
  <si>
    <t>Carnation Elementary School</t>
  </si>
  <si>
    <t>Cedarcrest High School</t>
  </si>
  <si>
    <t>Cherry Valley Elementary School</t>
  </si>
  <si>
    <t>Choice</t>
  </si>
  <si>
    <t>CLIP</t>
  </si>
  <si>
    <t>Eagle Rock Multiage School</t>
  </si>
  <si>
    <t>PARADE</t>
  </si>
  <si>
    <t>Stillwater Elementary</t>
  </si>
  <si>
    <t>Tolt Middle School</t>
  </si>
  <si>
    <t>Rochester School District</t>
  </si>
  <si>
    <t>Grand Mound Elementary</t>
  </si>
  <si>
    <t>H.e.a.r.t. High School</t>
  </si>
  <si>
    <t>Rochester High School</t>
  </si>
  <si>
    <t>Rochester Middle School</t>
  </si>
  <si>
    <t>Rochester Primary School</t>
  </si>
  <si>
    <t>Roosevelt School District</t>
  </si>
  <si>
    <t>Rosalia School District</t>
  </si>
  <si>
    <t>Rosalia Elementary &amp; Secondary School</t>
  </si>
  <si>
    <t>Royal School District</t>
  </si>
  <si>
    <t>Red Rock Elementary</t>
  </si>
  <si>
    <t>Royal High School</t>
  </si>
  <si>
    <t>Royal Intermediate School</t>
  </si>
  <si>
    <t>Royal Middle School</t>
  </si>
  <si>
    <t>San Juan Island School District</t>
  </si>
  <si>
    <t>Friday Harbor Elementary School</t>
  </si>
  <si>
    <t>Friday Harbor High School</t>
  </si>
  <si>
    <t>Friday Harbor Middle School</t>
  </si>
  <si>
    <t>Griffin Bay School</t>
  </si>
  <si>
    <t>Satsop School District</t>
  </si>
  <si>
    <t>Satsop Elementary</t>
  </si>
  <si>
    <t>Seattle Public Schools</t>
  </si>
  <si>
    <t>Adams Elementary School</t>
  </si>
  <si>
    <t>Aki Kurose Middle School</t>
  </si>
  <si>
    <t>Alki Elementary School</t>
  </si>
  <si>
    <t>Arbor Heights Elementary School</t>
  </si>
  <si>
    <t>B F Day Elementary School</t>
  </si>
  <si>
    <t>Bailey Gatzert Elementary School</t>
  </si>
  <si>
    <t>Ballard High School</t>
  </si>
  <si>
    <t>Beacon Hill International School</t>
  </si>
  <si>
    <t>Birth to 3 Contracts</t>
  </si>
  <si>
    <t>Bridges Transition</t>
  </si>
  <si>
    <t>Broadview-Thomson K-8 School</t>
  </si>
  <si>
    <t>Bryant Elementary School</t>
  </si>
  <si>
    <t>Cascade Parent Partnership Program</t>
  </si>
  <si>
    <t>Catharine Blaine K-8 School</t>
  </si>
  <si>
    <t>Cedar Park Elementary School</t>
  </si>
  <si>
    <t>Chief Sealth International High School</t>
  </si>
  <si>
    <t>Cleveland High School STEM</t>
  </si>
  <si>
    <t>Concord International School</t>
  </si>
  <si>
    <t>Daniel Bagley Elementary School</t>
  </si>
  <si>
    <t>David T. Denny International Middle School</t>
  </si>
  <si>
    <t>Dearborn Park International School</t>
  </si>
  <si>
    <t>Decatur Elementary School</t>
  </si>
  <si>
    <t>Dunlap Elementary School</t>
  </si>
  <si>
    <t>Eckstein Middle School</t>
  </si>
  <si>
    <t>Fairmount Park Elementary School</t>
  </si>
  <si>
    <t>Franklin High School</t>
  </si>
  <si>
    <t>Frantz Coe Elementary School</t>
  </si>
  <si>
    <t>Garfield High School</t>
  </si>
  <si>
    <t>Gatewood Elementary School</t>
  </si>
  <si>
    <t>Genesee Hill Elementary</t>
  </si>
  <si>
    <t>Graham Hill Elementary School</t>
  </si>
  <si>
    <t>Green Lake Elementary School</t>
  </si>
  <si>
    <t>Greenwood Elementary School</t>
  </si>
  <si>
    <t>Hamilton International Middle School</t>
  </si>
  <si>
    <t>Hawthorne Elementary School - Seattle</t>
  </si>
  <si>
    <t>Hazel Wolf K-8</t>
  </si>
  <si>
    <t>Highland Park Elementary School</t>
  </si>
  <si>
    <t>Ingraham High School</t>
  </si>
  <si>
    <t>Interagency Detention School</t>
  </si>
  <si>
    <t>Interagency Open Doors</t>
  </si>
  <si>
    <t>Interagency Programs</t>
  </si>
  <si>
    <t>Jane Addams Middle School</t>
  </si>
  <si>
    <t>John Hay Elementary School</t>
  </si>
  <si>
    <t>John Muir Elementary School</t>
  </si>
  <si>
    <t>John Rogers Elementary School</t>
  </si>
  <si>
    <t>John Stanford International School</t>
  </si>
  <si>
    <t>Kimball Elementary School</t>
  </si>
  <si>
    <t>Lafayette Elementary School</t>
  </si>
  <si>
    <t>Laurelhurst Elementary School</t>
  </si>
  <si>
    <t>Lawton Elementary School</t>
  </si>
  <si>
    <t>Leschi Elementary School</t>
  </si>
  <si>
    <t>Licton Springs K-8</t>
  </si>
  <si>
    <t>Louisa Boren STEM K-8</t>
  </si>
  <si>
    <t>Lowell Elementary School</t>
  </si>
  <si>
    <t>Loyal Heights Elementary School</t>
  </si>
  <si>
    <t>Madison Middle School</t>
  </si>
  <si>
    <t>Madrona K-5 School</t>
  </si>
  <si>
    <t>Maple Elementary School</t>
  </si>
  <si>
    <t>Martin Luther King Jr. Elementary School</t>
  </si>
  <si>
    <t>McClure Middle School</t>
  </si>
  <si>
    <t>McDonald International School</t>
  </si>
  <si>
    <t>McGilvra Elementary School</t>
  </si>
  <si>
    <t>Meany Middle School</t>
  </si>
  <si>
    <t>Mercer International Middle School</t>
  </si>
  <si>
    <t>Middle College High School</t>
  </si>
  <si>
    <t>Montlake Elementary School</t>
  </si>
  <si>
    <t>Nathan Hale High School</t>
  </si>
  <si>
    <t>North Beach Elementary School</t>
  </si>
  <si>
    <t>Northgate Elementary School</t>
  </si>
  <si>
    <t>Nova High School</t>
  </si>
  <si>
    <t>Olympic Hills Elementary School</t>
  </si>
  <si>
    <t>Orca K-8 School</t>
  </si>
  <si>
    <t>Pathfinder K-8 School</t>
  </si>
  <si>
    <t>Private School Services</t>
  </si>
  <si>
    <t>Queen Anne Elementary</t>
  </si>
  <si>
    <t>Rainier Beach High School</t>
  </si>
  <si>
    <t>Residential Consortium</t>
  </si>
  <si>
    <t>Robert Eagle Staff Middle School</t>
  </si>
  <si>
    <t>Roosevelt High School</t>
  </si>
  <si>
    <t>Roxhill Elementary School</t>
  </si>
  <si>
    <t>Sacajawea Elementary School</t>
  </si>
  <si>
    <t>Salmon Bay K-8 School</t>
  </si>
  <si>
    <t>Sand Point Elementary</t>
  </si>
  <si>
    <t>Sanislo Elementary School</t>
  </si>
  <si>
    <t>Seattle Skills Center</t>
  </si>
  <si>
    <t>Seattle World School</t>
  </si>
  <si>
    <t>South Lake High School</t>
  </si>
  <si>
    <t>South Shore PK-8 School</t>
  </si>
  <si>
    <t>The Center School</t>
  </si>
  <si>
    <t>Thornton Creek Elementary School</t>
  </si>
  <si>
    <t>Thurgood Marshall Elementary</t>
  </si>
  <si>
    <t>Tops K-8 School</t>
  </si>
  <si>
    <t>Van Asselt Elementary School</t>
  </si>
  <si>
    <t>View Ridge Elementary School</t>
  </si>
  <si>
    <t>Viewlands Elementary School</t>
  </si>
  <si>
    <t>Wedgwood Elementary School</t>
  </si>
  <si>
    <t>West Seattle Elementary School</t>
  </si>
  <si>
    <t>West Seattle High School</t>
  </si>
  <si>
    <t>West Woodland Elementary School</t>
  </si>
  <si>
    <t>Whitman Middle School</t>
  </si>
  <si>
    <t>Whittier Elementary School</t>
  </si>
  <si>
    <t>Wing Luke Elementary School</t>
  </si>
  <si>
    <t>Sedro-Woolley School District</t>
  </si>
  <si>
    <t>Big Lake Elementary School</t>
  </si>
  <si>
    <t>Clear Lake Elementary School</t>
  </si>
  <si>
    <t>Connections Academy</t>
  </si>
  <si>
    <t>Good Beginnings Center</t>
  </si>
  <si>
    <t>Lyman Elementary School</t>
  </si>
  <si>
    <t>Mary Purcell Elementary School</t>
  </si>
  <si>
    <t>Samish Elementary School</t>
  </si>
  <si>
    <t>Sedro Woolley Senior High School</t>
  </si>
  <si>
    <t>State Street High School</t>
  </si>
  <si>
    <t>Selah School District</t>
  </si>
  <si>
    <t>John Campbell Primary School</t>
  </si>
  <si>
    <t>Robert Lince Early Learning Center</t>
  </si>
  <si>
    <t>Selah Academy Online</t>
  </si>
  <si>
    <t xml:space="preserve">SELAH ACADEMY REENGAGEMENT PROGRAM </t>
  </si>
  <si>
    <t>Selah High School</t>
  </si>
  <si>
    <t>Selah HomeLink</t>
  </si>
  <si>
    <t>Selah Intermediate School</t>
  </si>
  <si>
    <t>Selah Middle School</t>
  </si>
  <si>
    <t>Selkirk School District</t>
  </si>
  <si>
    <t>Selkirk Elementary</t>
  </si>
  <si>
    <t>Selkirk High School</t>
  </si>
  <si>
    <t>Selkirk Middle School</t>
  </si>
  <si>
    <t>Sequim School District</t>
  </si>
  <si>
    <t>Greywolf Elementary School</t>
  </si>
  <si>
    <t>Helen Haller Elementary School</t>
  </si>
  <si>
    <t>Sequim Community School</t>
  </si>
  <si>
    <t>Sequim Middle School</t>
  </si>
  <si>
    <t>Sequim Senior High</t>
  </si>
  <si>
    <t>Shaw Island School District</t>
  </si>
  <si>
    <t>Shaw Island Elementary School</t>
  </si>
  <si>
    <t>Shelton School District</t>
  </si>
  <si>
    <t>Bordeaux Elementary School</t>
  </si>
  <si>
    <t>Choice Middle and High School</t>
  </si>
  <si>
    <t>Mason County Detention Center</t>
  </si>
  <si>
    <t>Oakland Bay Junior High School</t>
  </si>
  <si>
    <t>Shelton High School</t>
  </si>
  <si>
    <t>Shelton Open Doors</t>
  </si>
  <si>
    <t>Shoreline School District</t>
  </si>
  <si>
    <t>Albert Einstein Middle School</t>
  </si>
  <si>
    <t>Briarcrest Elementary</t>
  </si>
  <si>
    <t>Brookside Elementary</t>
  </si>
  <si>
    <t>Cascade K-8 Community School</t>
  </si>
  <si>
    <t>Early Childhood Education</t>
  </si>
  <si>
    <t>Echo Lake Elementary School</t>
  </si>
  <si>
    <t>Fircrest Residential Habilitation</t>
  </si>
  <si>
    <t>Handicapped Contractual Services</t>
  </si>
  <si>
    <t>Highland Terrace Elementary</t>
  </si>
  <si>
    <t>Home Education Exchange</t>
  </si>
  <si>
    <t>Kellogg Middle School</t>
  </si>
  <si>
    <t>Lake Forest Park Elementary</t>
  </si>
  <si>
    <t>Melvin G Syre Elementary</t>
  </si>
  <si>
    <t>Meridian Park Elementary School</t>
  </si>
  <si>
    <t>Parkwood Elementary</t>
  </si>
  <si>
    <t>Shorecrest High School</t>
  </si>
  <si>
    <t>Shorewood High School</t>
  </si>
  <si>
    <t>Skamania School District</t>
  </si>
  <si>
    <t>Skamania Elementary</t>
  </si>
  <si>
    <t>Skykomish School District</t>
  </si>
  <si>
    <t>Skykomish Elementary School</t>
  </si>
  <si>
    <t>Skykomish High School</t>
  </si>
  <si>
    <t>Snohomish School District</t>
  </si>
  <si>
    <t>AIM High School</t>
  </si>
  <si>
    <t>Cascade View Elementary</t>
  </si>
  <si>
    <t>Cathcart Elementary</t>
  </si>
  <si>
    <t>Centennial Middle School</t>
  </si>
  <si>
    <t>Dutch Hill Elementary</t>
  </si>
  <si>
    <t>Glacier Peak High School</t>
  </si>
  <si>
    <t>High School Re Entry</t>
  </si>
  <si>
    <t>Little Cedars Elementary School</t>
  </si>
  <si>
    <t>Machias Elementary</t>
  </si>
  <si>
    <t>Parent Partnership</t>
  </si>
  <si>
    <t>Riverview Elementary</t>
  </si>
  <si>
    <t>Seattle Hill Elementary</t>
  </si>
  <si>
    <t>Snohomish Center</t>
  </si>
  <si>
    <t>Snohomish High School</t>
  </si>
  <si>
    <t>Snohomish Online Learning</t>
  </si>
  <si>
    <t>Totem Falls</t>
  </si>
  <si>
    <t>Valley View Middle School</t>
  </si>
  <si>
    <t>Snoqualmie Valley School District</t>
  </si>
  <si>
    <t>Cascade View Elementary School</t>
  </si>
  <si>
    <t>Chief Kanim Middle School</t>
  </si>
  <si>
    <t>Edwin R Opstad Elementary</t>
  </si>
  <si>
    <t>Fall City Elementary</t>
  </si>
  <si>
    <t>Mount Si High School</t>
  </si>
  <si>
    <t>North Bend Elementary School</t>
  </si>
  <si>
    <t>Snoqualmie Access</t>
  </si>
  <si>
    <t>Snoqualmie Elementary</t>
  </si>
  <si>
    <t>Snoqualmie Parent Partnership Program</t>
  </si>
  <si>
    <t>SVSD OPEN DOORS</t>
  </si>
  <si>
    <t>Timber Ridge Elementary School</t>
  </si>
  <si>
    <t>Twin Falls Middle School</t>
  </si>
  <si>
    <t>Two Rivers School</t>
  </si>
  <si>
    <t>Soap Lake School District</t>
  </si>
  <si>
    <t>Smokiam Alternative High School</t>
  </si>
  <si>
    <t>Soap Lake Elementary</t>
  </si>
  <si>
    <t>Soap Lake Middle &amp; High School</t>
  </si>
  <si>
    <t>SOAR Academy Charter District</t>
  </si>
  <si>
    <t>SOAR Academy Public Charter School</t>
  </si>
  <si>
    <t>South Bend School District</t>
  </si>
  <si>
    <t>Chauncey Davis Elementary</t>
  </si>
  <si>
    <t>Pacific County Jail</t>
  </si>
  <si>
    <t>Pacific Virtual Learning</t>
  </si>
  <si>
    <t>South Bend High School</t>
  </si>
  <si>
    <t>South Kitsap School District</t>
  </si>
  <si>
    <t>Burley Glenwood Elementary</t>
  </si>
  <si>
    <t>Discovery</t>
  </si>
  <si>
    <t>East Port Orchard Elementary</t>
  </si>
  <si>
    <t>Explorer Academy</t>
  </si>
  <si>
    <t>Hidden Creek Elementary School</t>
  </si>
  <si>
    <t>John Sedgwick Middle School</t>
  </si>
  <si>
    <t>Madrona Heights PreSchool Program</t>
  </si>
  <si>
    <t>Manchester Elementary School</t>
  </si>
  <si>
    <t>Marcus Whitman Middle School</t>
  </si>
  <si>
    <t>Mullenix Ridge Elementary School</t>
  </si>
  <si>
    <t>Olalla Elementary School</t>
  </si>
  <si>
    <t>Orchard Heights Elementary</t>
  </si>
  <si>
    <t>Sidney Glen Elementary School</t>
  </si>
  <si>
    <t>South Colby Elementary</t>
  </si>
  <si>
    <t>South Kitsap High School</t>
  </si>
  <si>
    <t>Sunnyslope Elementary School</t>
  </si>
  <si>
    <t>South Whidbey School District</t>
  </si>
  <si>
    <t>South Whidbey Academy</t>
  </si>
  <si>
    <t>South Whidbey Elementary</t>
  </si>
  <si>
    <t>South Whidbey High School</t>
  </si>
  <si>
    <t>South Whidbey Middle</t>
  </si>
  <si>
    <t>South Whidbey Special Services</t>
  </si>
  <si>
    <t>Southside School District</t>
  </si>
  <si>
    <t>Southside Elementary</t>
  </si>
  <si>
    <t>Spokane International Academy</t>
  </si>
  <si>
    <t>Spokane School District</t>
  </si>
  <si>
    <t>A-3 Multiagency Adolescent Prog</t>
  </si>
  <si>
    <t>Alternative Northeast Community Center Preschool</t>
  </si>
  <si>
    <t>Alternative Tamarack School</t>
  </si>
  <si>
    <t>Arlington Elementary</t>
  </si>
  <si>
    <t>Balboa Elementary</t>
  </si>
  <si>
    <t>Bemiss Elementary</t>
  </si>
  <si>
    <t>Browne Elementary</t>
  </si>
  <si>
    <t>Bryant Center</t>
  </si>
  <si>
    <t>Chase Middle School</t>
  </si>
  <si>
    <t>Cooper Elementary</t>
  </si>
  <si>
    <t>Daybreak Alternative School</t>
  </si>
  <si>
    <t>Eagle Peak at Pratt</t>
  </si>
  <si>
    <t>Excelsior Youth Center School</t>
  </si>
  <si>
    <t>Ferris High School</t>
  </si>
  <si>
    <t>Finch Elementary</t>
  </si>
  <si>
    <t>Garry Middle School</t>
  </si>
  <si>
    <t>Glover Middle School</t>
  </si>
  <si>
    <t>Hamblen Elementary</t>
  </si>
  <si>
    <t>Holmes Elementary</t>
  </si>
  <si>
    <t>Hutton Elementary</t>
  </si>
  <si>
    <t>Indian Trail Elementary</t>
  </si>
  <si>
    <t>Lewis &amp; Clark High School</t>
  </si>
  <si>
    <t>Libby Center</t>
  </si>
  <si>
    <t>Lidgerwood Elementary</t>
  </si>
  <si>
    <t>Lincoln Heights Elementary</t>
  </si>
  <si>
    <t>Linwood Elementary</t>
  </si>
  <si>
    <t>Logan Elementary</t>
  </si>
  <si>
    <t>Moran Prairie Elementary</t>
  </si>
  <si>
    <t>Mullan Road Elementary</t>
  </si>
  <si>
    <t>North Central High School</t>
  </si>
  <si>
    <t>On Track Academy</t>
  </si>
  <si>
    <t>Open Doors Youth Re-Engagement Spokane</t>
  </si>
  <si>
    <t>Regal Elementary</t>
  </si>
  <si>
    <t>Ridgeview Elementary</t>
  </si>
  <si>
    <t>Sacred Heart Hospital</t>
  </si>
  <si>
    <t>Salk Middle School</t>
  </si>
  <si>
    <t>SCCP Images</t>
  </si>
  <si>
    <t>Shadle Park High School</t>
  </si>
  <si>
    <t>Shaw Middle School</t>
  </si>
  <si>
    <t>Sheridan Elementary</t>
  </si>
  <si>
    <t>Shrine Hospital</t>
  </si>
  <si>
    <t xml:space="preserve">Spokane Area Professional-Technical Skills Center </t>
  </si>
  <si>
    <t>Spokane County Jail</t>
  </si>
  <si>
    <t>Spokane Public Montessori</t>
  </si>
  <si>
    <t>Spokane Regional Health District</t>
  </si>
  <si>
    <t>Stevens Elementary</t>
  </si>
  <si>
    <t>The Community School</t>
  </si>
  <si>
    <t>The Healing Lodge</t>
  </si>
  <si>
    <t>Westview Elementary</t>
  </si>
  <si>
    <t>Whitman Elementary</t>
  </si>
  <si>
    <t>Willard Elementary</t>
  </si>
  <si>
    <t>Wilson Elementary</t>
  </si>
  <si>
    <t>Sprague School District</t>
  </si>
  <si>
    <t>Sprague Elementary</t>
  </si>
  <si>
    <t>Sprague High School</t>
  </si>
  <si>
    <t>St. John School District</t>
  </si>
  <si>
    <t>St John Elementary</t>
  </si>
  <si>
    <t>St John/Endicott High</t>
  </si>
  <si>
    <t>Stanwood-Camano School District</t>
  </si>
  <si>
    <t>Cedarhome Elementary School</t>
  </si>
  <si>
    <t>Elger Bay Elementary</t>
  </si>
  <si>
    <t>Lincoln Academy</t>
  </si>
  <si>
    <t>Lincoln Hill High School</t>
  </si>
  <si>
    <t>Port Susan Middle School</t>
  </si>
  <si>
    <t>Saratoga School</t>
  </si>
  <si>
    <t>Stanwood Elementary School</t>
  </si>
  <si>
    <t>Stanwood High School</t>
  </si>
  <si>
    <t>Stanwood Middle School</t>
  </si>
  <si>
    <t>Twin City Elementary</t>
  </si>
  <si>
    <t>Utsalady Elementary</t>
  </si>
  <si>
    <t>Star School District No. 054</t>
  </si>
  <si>
    <t>Star Elem School</t>
  </si>
  <si>
    <t>Starbuck School District</t>
  </si>
  <si>
    <t>Starbuck School</t>
  </si>
  <si>
    <t>Stehekin School District</t>
  </si>
  <si>
    <t>Stehekin Elementary</t>
  </si>
  <si>
    <t>Steilacoom Hist. School District</t>
  </si>
  <si>
    <t>Anderson Island Elementary</t>
  </si>
  <si>
    <t>Birth to Three</t>
  </si>
  <si>
    <t>Cherrydale Elementary</t>
  </si>
  <si>
    <t>Chloe Clark Elementary</t>
  </si>
  <si>
    <t>Futures Program</t>
  </si>
  <si>
    <t>Pioneer Middle</t>
  </si>
  <si>
    <t>PreSchool and ECEAP</t>
  </si>
  <si>
    <t>Saltars Point Elementary</t>
  </si>
  <si>
    <t>Steilacoom High</t>
  </si>
  <si>
    <t>Steilacoom PRIDE Academy</t>
  </si>
  <si>
    <t>Steptoe School District</t>
  </si>
  <si>
    <t>Steptoe Elementary School</t>
  </si>
  <si>
    <t>Stevenson-Carson School District</t>
  </si>
  <si>
    <t>Preschool</t>
  </si>
  <si>
    <t>Stevenson High School</t>
  </si>
  <si>
    <t>Wind River Middle School</t>
  </si>
  <si>
    <t>Sultan School District</t>
  </si>
  <si>
    <t>Gold Bar Elementary</t>
  </si>
  <si>
    <t>Open Doors Youth Reengagement Sultan</t>
  </si>
  <si>
    <t>Sky Valley Options</t>
  </si>
  <si>
    <t>Student Services School</t>
  </si>
  <si>
    <t>Sultan Elementary School</t>
  </si>
  <si>
    <t>Sultan Middle School</t>
  </si>
  <si>
    <t>Sultan Senior High School</t>
  </si>
  <si>
    <t>Summit Public School: Atlas</t>
  </si>
  <si>
    <t>Summit Public School: Olympus</t>
  </si>
  <si>
    <t>Summit Public School: Sierra</t>
  </si>
  <si>
    <t>Summit Valley School District</t>
  </si>
  <si>
    <t>Summit Valley School</t>
  </si>
  <si>
    <t>Sumner School District</t>
  </si>
  <si>
    <t>Bonney Lake Elementary</t>
  </si>
  <si>
    <t>Bonney Lake High School</t>
  </si>
  <si>
    <t>Crestwood Elementary</t>
  </si>
  <si>
    <t>Daffodil Valley Elementary</t>
  </si>
  <si>
    <t>Eismann Elementary</t>
  </si>
  <si>
    <t>Emerald Hills Elementary</t>
  </si>
  <si>
    <t>Lakeridge Middle School</t>
  </si>
  <si>
    <t>Liberty Ridge Elementary</t>
  </si>
  <si>
    <t>Maple Lawn Elementary</t>
  </si>
  <si>
    <t>Sumner High School</t>
  </si>
  <si>
    <t>Sumner Middle School</t>
  </si>
  <si>
    <t>Sumner Special Services</t>
  </si>
  <si>
    <t>Tehaleh Heights Elementary</t>
  </si>
  <si>
    <t>Victor Falls Elementary</t>
  </si>
  <si>
    <t>Sunnyside School District</t>
  </si>
  <si>
    <t>Chief Kamiakin Elementary School</t>
  </si>
  <si>
    <t>Harrison Middle School</t>
  </si>
  <si>
    <t>Outlook Elementary School</t>
  </si>
  <si>
    <t>SHS Graduation Alliance</t>
  </si>
  <si>
    <t>Sierra Vista Middle School</t>
  </si>
  <si>
    <t>Sun Valley Elementary</t>
  </si>
  <si>
    <t>Sunnyside High School</t>
  </si>
  <si>
    <t>Washington Elementary</t>
  </si>
  <si>
    <t>Suquamish Tribal Education Department</t>
  </si>
  <si>
    <t>Chief Kitsap Academy</t>
  </si>
  <si>
    <t>Tacoma School District</t>
  </si>
  <si>
    <t>Alternative Spcl Needs Div Occ</t>
  </si>
  <si>
    <t>Angelo Giaudrone Middle School</t>
  </si>
  <si>
    <t>Arlington</t>
  </si>
  <si>
    <t>Baker</t>
  </si>
  <si>
    <t>Birney</t>
  </si>
  <si>
    <t>Blix Elementary</t>
  </si>
  <si>
    <t>Boze</t>
  </si>
  <si>
    <t>Browns Point</t>
  </si>
  <si>
    <t>Bryant</t>
  </si>
  <si>
    <t>Comm Based Trans Program</t>
  </si>
  <si>
    <t>Crescent Heights</t>
  </si>
  <si>
    <t>Day Reporting School</t>
  </si>
  <si>
    <t>Delong</t>
  </si>
  <si>
    <t>Downing</t>
  </si>
  <si>
    <t>Edison</t>
  </si>
  <si>
    <t>Fawcett</t>
  </si>
  <si>
    <t>Fern Hill</t>
  </si>
  <si>
    <t>First Creek Middle School</t>
  </si>
  <si>
    <t>Foss</t>
  </si>
  <si>
    <t>Franklin</t>
  </si>
  <si>
    <t>Fresh Start</t>
  </si>
  <si>
    <t>Geiger</t>
  </si>
  <si>
    <t>Grant</t>
  </si>
  <si>
    <t>Gray</t>
  </si>
  <si>
    <t>Helen B. Stafford Elementary</t>
  </si>
  <si>
    <t>Hoyt Early Learning Center</t>
  </si>
  <si>
    <t>Industrial Design Engineering and Art</t>
  </si>
  <si>
    <t>Jason Lee</t>
  </si>
  <si>
    <t>Jefferson</t>
  </si>
  <si>
    <t>Larchmont</t>
  </si>
  <si>
    <t>Lincoln</t>
  </si>
  <si>
    <t>Lister</t>
  </si>
  <si>
    <t>Lowell</t>
  </si>
  <si>
    <t>Lyon</t>
  </si>
  <si>
    <t>Madison Headstart</t>
  </si>
  <si>
    <t>Manitou Park</t>
  </si>
  <si>
    <t>Mann</t>
  </si>
  <si>
    <t>Mason</t>
  </si>
  <si>
    <t>McCarver</t>
  </si>
  <si>
    <t>Meeker</t>
  </si>
  <si>
    <t>Mt Tahoma</t>
  </si>
  <si>
    <t>Northeast Tacoma</t>
  </si>
  <si>
    <t>Oakland High School</t>
  </si>
  <si>
    <t>Pearl Street Center</t>
  </si>
  <si>
    <t>Point Defiance</t>
  </si>
  <si>
    <t>Reed</t>
  </si>
  <si>
    <t>Remann Hall Juvenile Detention Center</t>
  </si>
  <si>
    <t>Roosevelt</t>
  </si>
  <si>
    <t>Science and Math Institute</t>
  </si>
  <si>
    <t>Sheridan</t>
  </si>
  <si>
    <t>Sherman</t>
  </si>
  <si>
    <t>Skyline</t>
  </si>
  <si>
    <t>Stadium</t>
  </si>
  <si>
    <t>Stanley</t>
  </si>
  <si>
    <t>Stewart</t>
  </si>
  <si>
    <t>Tacoma Business Academy</t>
  </si>
  <si>
    <t>Tacoma Pierce County Education Center</t>
  </si>
  <si>
    <t>Tacoma School of the Arts</t>
  </si>
  <si>
    <t>TCC Fresh Start</t>
  </si>
  <si>
    <t>Truman</t>
  </si>
  <si>
    <t>Wainwright</t>
  </si>
  <si>
    <t>Whitman</t>
  </si>
  <si>
    <t>Whittier</t>
  </si>
  <si>
    <t>Wilson</t>
  </si>
  <si>
    <t>Taholah School District</t>
  </si>
  <si>
    <t>Taholah Elementary &amp; Middle School</t>
  </si>
  <si>
    <t>Taholah High School</t>
  </si>
  <si>
    <t>Tahoma School District</t>
  </si>
  <si>
    <t>Cedar River Elementary</t>
  </si>
  <si>
    <t>Glacier Park Elementary</t>
  </si>
  <si>
    <t>Lake Wilderness Elementary</t>
  </si>
  <si>
    <t>Maple View Middle School</t>
  </si>
  <si>
    <t>Rock Creek Elementary</t>
  </si>
  <si>
    <t>Shadow Lake Elementary</t>
  </si>
  <si>
    <t>Summit Trail Middle School</t>
  </si>
  <si>
    <t>Tahoma Elementary</t>
  </si>
  <si>
    <t>Tahoma Senior High School</t>
  </si>
  <si>
    <t>Tekoa School District</t>
  </si>
  <si>
    <t>Tekoa Elementary School</t>
  </si>
  <si>
    <t>Tekoa High School</t>
  </si>
  <si>
    <t>Tenino School District</t>
  </si>
  <si>
    <t>Tenino Elementary School</t>
  </si>
  <si>
    <t>Tenino High School</t>
  </si>
  <si>
    <t>Tenino Middle School</t>
  </si>
  <si>
    <t>Thorp School District</t>
  </si>
  <si>
    <t>Thorp Elem &amp; Jr Sr High</t>
  </si>
  <si>
    <t>Toledo School District</t>
  </si>
  <si>
    <t>Cowlitz Prairie Academy</t>
  </si>
  <si>
    <t>Toledo Elementary School</t>
  </si>
  <si>
    <t>Toledo High School</t>
  </si>
  <si>
    <t>Toledo Middle School</t>
  </si>
  <si>
    <t>Tonasket School District</t>
  </si>
  <si>
    <t>Tonasket Elementary School</t>
  </si>
  <si>
    <t>Tonasket High School</t>
  </si>
  <si>
    <t>Tonasket Middle School</t>
  </si>
  <si>
    <t>Toppenish School District</t>
  </si>
  <si>
    <t>Computer Academy Toppenish High School</t>
  </si>
  <si>
    <t>Kirkwood Elementary School</t>
  </si>
  <si>
    <t>NW Allprep</t>
  </si>
  <si>
    <t>Toppenish High School</t>
  </si>
  <si>
    <t>Toppenish Middle School</t>
  </si>
  <si>
    <t>Toppenish Pre School</t>
  </si>
  <si>
    <t>Valley View Elementary</t>
  </si>
  <si>
    <t>Touchet School District</t>
  </si>
  <si>
    <t>Touchet Elem &amp; High School</t>
  </si>
  <si>
    <t>Toutle Lake School District</t>
  </si>
  <si>
    <t>Toutle Lake Elementary</t>
  </si>
  <si>
    <t>Toutle Lake High School</t>
  </si>
  <si>
    <t>Trout Lake School District</t>
  </si>
  <si>
    <t>Trout Lake Elementary</t>
  </si>
  <si>
    <t>Trout Lake School</t>
  </si>
  <si>
    <t>Tukwila School District</t>
  </si>
  <si>
    <t>Foster Senior High School</t>
  </si>
  <si>
    <t>Gateway</t>
  </si>
  <si>
    <t>Showalter Middle School</t>
  </si>
  <si>
    <t>Thorndyke Elementary</t>
  </si>
  <si>
    <t>Tukwila Elementary</t>
  </si>
  <si>
    <t>Tukwila Online Learning</t>
  </si>
  <si>
    <t>Youthsource</t>
  </si>
  <si>
    <t>Tumwater School District</t>
  </si>
  <si>
    <t>A G West Black Hills High School</t>
  </si>
  <si>
    <t>Black Lake Elementary</t>
  </si>
  <si>
    <t>East Olympia Elementary</t>
  </si>
  <si>
    <t>George Washington Bush Middle Sch</t>
  </si>
  <si>
    <t>Littlerock Elementary School</t>
  </si>
  <si>
    <t>Michael T Simmons Elementary</t>
  </si>
  <si>
    <t>New Market High School</t>
  </si>
  <si>
    <t>New Market Skills Center</t>
  </si>
  <si>
    <t>Peter G Schmidt Elementary</t>
  </si>
  <si>
    <t>Secondary Options</t>
  </si>
  <si>
    <t>Thurs Co Juv Det/Tumwater West E</t>
  </si>
  <si>
    <t>Tumwater High School</t>
  </si>
  <si>
    <t>Tumwater Hill Elementary</t>
  </si>
  <si>
    <t>Tumwater Middle School</t>
  </si>
  <si>
    <t>Union Gap School District</t>
  </si>
  <si>
    <t>Union Gap School</t>
  </si>
  <si>
    <t>University Place School District</t>
  </si>
  <si>
    <t>Chambers Elementary</t>
  </si>
  <si>
    <t>CHS Drop-Out Reengagement Program</t>
  </si>
  <si>
    <t>Curtis Junior High</t>
  </si>
  <si>
    <t>Curtis Senior High</t>
  </si>
  <si>
    <t>Drum Intermediate</t>
  </si>
  <si>
    <t>Evergreen Primary</t>
  </si>
  <si>
    <t>Narrows View Intermediate</t>
  </si>
  <si>
    <t>Sunset Primary</t>
  </si>
  <si>
    <t>University Place Primary</t>
  </si>
  <si>
    <t>Valley School District</t>
  </si>
  <si>
    <t>Columbia Virtual Academy</t>
  </si>
  <si>
    <t>Paideia High School</t>
  </si>
  <si>
    <t>Valley Early Learning Center</t>
  </si>
  <si>
    <t>Valley School</t>
  </si>
  <si>
    <t>Vancouver School District</t>
  </si>
  <si>
    <t>Alki Middle School</t>
  </si>
  <si>
    <t>Benjamin Franklin Elementary</t>
  </si>
  <si>
    <t>Columbia River High</t>
  </si>
  <si>
    <t>Discovery Middle School</t>
  </si>
  <si>
    <t>Dwight D Eisenhower Elementary</t>
  </si>
  <si>
    <t>Early Childhood Education Center</t>
  </si>
  <si>
    <t>Felida Elementary School</t>
  </si>
  <si>
    <t>Fir Grove Childrens Center</t>
  </si>
  <si>
    <t>Fort Vancouver High School</t>
  </si>
  <si>
    <t>Fruit Valley Elementary School</t>
  </si>
  <si>
    <t>Gaiser Middle School</t>
  </si>
  <si>
    <t>Gate Program</t>
  </si>
  <si>
    <t>George C Marshall Elementary</t>
  </si>
  <si>
    <t>Harney Elementary School</t>
  </si>
  <si>
    <t>Harry S Truman Elementary School</t>
  </si>
  <si>
    <t>Hazel Dell Elementary School</t>
  </si>
  <si>
    <t>Hough Elementary School</t>
  </si>
  <si>
    <t>Hudson's Bay High School</t>
  </si>
  <si>
    <t>Jason Lee Middle School</t>
  </si>
  <si>
    <t>Lake Shore Elementary</t>
  </si>
  <si>
    <t>Lewis and Clark High School</t>
  </si>
  <si>
    <t>Martin Luther King Elementary</t>
  </si>
  <si>
    <t>Minnehaha Elementary School</t>
  </si>
  <si>
    <t>Open Doors Vancouver</t>
  </si>
  <si>
    <t>Peter S Ogden Elementary</t>
  </si>
  <si>
    <t>Salmon Creek Elementary</t>
  </si>
  <si>
    <t>Sarah J Anderson Elementary</t>
  </si>
  <si>
    <t>Skyview High School</t>
  </si>
  <si>
    <t>Vancouver Contracted Programs</t>
  </si>
  <si>
    <t>Vancouver Home Connection</t>
  </si>
  <si>
    <t>Vancouver iTech Preparatory</t>
  </si>
  <si>
    <t>Vancouver School of Arts and Academics</t>
  </si>
  <si>
    <t>Vancouver Virtual Learning Academy</t>
  </si>
  <si>
    <t>Walnut Grove Elementary</t>
  </si>
  <si>
    <t>Vashon Island School District</t>
  </si>
  <si>
    <t>Chautauqua Elementary</t>
  </si>
  <si>
    <t>Family Link</t>
  </si>
  <si>
    <t>McMurray Middle School</t>
  </si>
  <si>
    <t>Student Link</t>
  </si>
  <si>
    <t>Vashon Island High School</t>
  </si>
  <si>
    <t>WA HE LUT Indian School Agency</t>
  </si>
  <si>
    <t>Wa He Lut Indian School</t>
  </si>
  <si>
    <t>WA State Center for Childhood Deafness and Hearing Loss</t>
  </si>
  <si>
    <t>Washington State School for the Deaf</t>
  </si>
  <si>
    <t>Wahkiakum School District</t>
  </si>
  <si>
    <t>Julius A Wendt Elementary/John C Thomas Middle School</t>
  </si>
  <si>
    <t>Wahkiakum High School</t>
  </si>
  <si>
    <t>Wahluke School District</t>
  </si>
  <si>
    <t>Developmental Pre-School</t>
  </si>
  <si>
    <t>Mattawa Elementary</t>
  </si>
  <si>
    <t>Mattawa Elementary Pre-School</t>
  </si>
  <si>
    <t>Morris Schott Elementary</t>
  </si>
  <si>
    <t>Saddle Mountain Elementary</t>
  </si>
  <si>
    <t>Sentinel Tech Alt School</t>
  </si>
  <si>
    <t>Wahluke High School</t>
  </si>
  <si>
    <t>Wahluke Junior High</t>
  </si>
  <si>
    <t>Waitsburg School District</t>
  </si>
  <si>
    <t>Preston Hall Middle School</t>
  </si>
  <si>
    <t>Waitsburg Elementary School</t>
  </si>
  <si>
    <t>Waitsburg High School</t>
  </si>
  <si>
    <t>Walla Walla Public Schools</t>
  </si>
  <si>
    <t>Alternative Education Program</t>
  </si>
  <si>
    <t>Berney Elementary School</t>
  </si>
  <si>
    <t>Blue Ridge Elementary</t>
  </si>
  <si>
    <t>Edison Elementary School - Walla Walla</t>
  </si>
  <si>
    <t>Garrison Middle School</t>
  </si>
  <si>
    <t>Green Park Elementary School</t>
  </si>
  <si>
    <t>HEAD START/ECEAP PRESCHOOL</t>
  </si>
  <si>
    <t>Opportunity Youth Reengagement</t>
  </si>
  <si>
    <t>Prospect Point Elementary</t>
  </si>
  <si>
    <t>SE AREA TECHNICAL SKILLS CENTER</t>
  </si>
  <si>
    <t>Sharpstein Elementary School</t>
  </si>
  <si>
    <t>Walla Walla High School</t>
  </si>
  <si>
    <t>Wapato School District</t>
  </si>
  <si>
    <t>Camas Elementary</t>
  </si>
  <si>
    <t>Pace Alternative High School</t>
  </si>
  <si>
    <t>Satus Elementary</t>
  </si>
  <si>
    <t>Simcoe Elementary School</t>
  </si>
  <si>
    <t>Wapato High School</t>
  </si>
  <si>
    <t>Wapato Middle School</t>
  </si>
  <si>
    <t>Warden School District</t>
  </si>
  <si>
    <t>Warden Elementary</t>
  </si>
  <si>
    <t>Warden High School</t>
  </si>
  <si>
    <t>Warden Middle School</t>
  </si>
  <si>
    <t>Washington Military Department</t>
  </si>
  <si>
    <t>Washington Youth Academy</t>
  </si>
  <si>
    <t>Washougal School District</t>
  </si>
  <si>
    <t>Canyon Creek Middle School</t>
  </si>
  <si>
    <t>Cape Horn Skye Elementary</t>
  </si>
  <si>
    <t>Columbia River Gorge Elementary School</t>
  </si>
  <si>
    <t>Gause Elementary</t>
  </si>
  <si>
    <t>Hathaway Elementary</t>
  </si>
  <si>
    <t>Jemtegaard Middle School</t>
  </si>
  <si>
    <t>Washougal High School</t>
  </si>
  <si>
    <t>Washougal Special Services</t>
  </si>
  <si>
    <t>Washtucna School District</t>
  </si>
  <si>
    <t>Washtucna Elementary/High School</t>
  </si>
  <si>
    <t>Waterville School District</t>
  </si>
  <si>
    <t>Waterville Elementary</t>
  </si>
  <si>
    <t>Waterville High School</t>
  </si>
  <si>
    <t>Wellpinit School District</t>
  </si>
  <si>
    <t>Wellpinit Elementary School</t>
  </si>
  <si>
    <t>Wellpinit Fort Simcoe SEA</t>
  </si>
  <si>
    <t>Wellpinit High School</t>
  </si>
  <si>
    <t>Wellpinit Middle School</t>
  </si>
  <si>
    <t>Wenatchee School District</t>
  </si>
  <si>
    <t>Abraham Lincoln Elementary</t>
  </si>
  <si>
    <t>Castlerock Early Learning Center</t>
  </si>
  <si>
    <t>Chelan County Juvenile Detention Center</t>
  </si>
  <si>
    <t>Foothills Middle School</t>
  </si>
  <si>
    <t>John Newbery Elementary</t>
  </si>
  <si>
    <t>Lewis And Clark Elementary Sch</t>
  </si>
  <si>
    <t>Mission View Elementary School</t>
  </si>
  <si>
    <t>Open Doors  Re-Engagement Wenatchee</t>
  </si>
  <si>
    <t>Orchard Middle School</t>
  </si>
  <si>
    <t>Skill Source</t>
  </si>
  <si>
    <t>Valley Academy Of Learning</t>
  </si>
  <si>
    <t>Wenatchee High School</t>
  </si>
  <si>
    <t>Wenatchee Valley Technical Skills Center</t>
  </si>
  <si>
    <t>Westside High School</t>
  </si>
  <si>
    <t>West Valley School District (Spokane)</t>
  </si>
  <si>
    <t>Dishman Hills High School</t>
  </si>
  <si>
    <t>Millwood Kindergarten Center</t>
  </si>
  <si>
    <t>Ness Elementary</t>
  </si>
  <si>
    <t>Orchard Center Elementary</t>
  </si>
  <si>
    <t>Pasadena Park Elementary</t>
  </si>
  <si>
    <t xml:space="preserve">re-engagement </t>
  </si>
  <si>
    <t>Seth Woodard Elementary</t>
  </si>
  <si>
    <t>Spokane Valley High School</t>
  </si>
  <si>
    <t>Spokane Valley Transition School</t>
  </si>
  <si>
    <t>West Valley City School</t>
  </si>
  <si>
    <t>West Valley Early Learning Center</t>
  </si>
  <si>
    <t>West Valley High School</t>
  </si>
  <si>
    <t>West Valley School District (Yakima)</t>
  </si>
  <si>
    <t>Ahtanum Valley Elementary</t>
  </si>
  <si>
    <t>Apple Valley Elementary</t>
  </si>
  <si>
    <t>Children's Village</t>
  </si>
  <si>
    <t>Mountainview Elementary</t>
  </si>
  <si>
    <t>Summitview Elementary</t>
  </si>
  <si>
    <t>West Valley High School Freshman Campus</t>
  </si>
  <si>
    <t>West Valley Jr High</t>
  </si>
  <si>
    <t>West Valley Middle School</t>
  </si>
  <si>
    <t>West Valley Open Doors</t>
  </si>
  <si>
    <t>West Valley Preschool</t>
  </si>
  <si>
    <t>WEST VALLEY VIRTUAL ACADEMY 7-8</t>
  </si>
  <si>
    <t>WEST VALLEY VIRTUAL ACADEMY 9-12</t>
  </si>
  <si>
    <t>WEST VALLEY VIRTUAL ACADEMY K-6</t>
  </si>
  <si>
    <t>Wide Hollow Elementary</t>
  </si>
  <si>
    <t>White Pass School District</t>
  </si>
  <si>
    <t>White Pass Elementary School</t>
  </si>
  <si>
    <t>White Pass Jr. Sr. High School</t>
  </si>
  <si>
    <t>White River School District</t>
  </si>
  <si>
    <t>Elk Ridge Elementary</t>
  </si>
  <si>
    <t>Foothills Elementary</t>
  </si>
  <si>
    <t>Glacier Middle School</t>
  </si>
  <si>
    <t>Mountain Meadow Elementary</t>
  </si>
  <si>
    <t>White River High School</t>
  </si>
  <si>
    <t>White River Homeschool</t>
  </si>
  <si>
    <t>White River Reengagement Program</t>
  </si>
  <si>
    <t>White River Special Ed Services</t>
  </si>
  <si>
    <t>Wilkeson Elementary School</t>
  </si>
  <si>
    <t>White Salmon Valley School District</t>
  </si>
  <si>
    <t>Hulan L Whitson Elem</t>
  </si>
  <si>
    <t>Wallace &amp; Priscilla Stevenson Intermediate School</t>
  </si>
  <si>
    <t>Wayne M Henkle Middle School</t>
  </si>
  <si>
    <t>White Salmon Academy</t>
  </si>
  <si>
    <t>Wilbur School District</t>
  </si>
  <si>
    <t>Wilbur Elementary School</t>
  </si>
  <si>
    <t>Wilbur Secondary School</t>
  </si>
  <si>
    <t>Willapa Valley School District</t>
  </si>
  <si>
    <t>Willapa Elementary</t>
  </si>
  <si>
    <t>Willapa Valley Middle-High</t>
  </si>
  <si>
    <t>Willow Public Charter School</t>
  </si>
  <si>
    <t>Willow Public School</t>
  </si>
  <si>
    <t>Wilson Creek School District</t>
  </si>
  <si>
    <t>Wilson Creek Elementary</t>
  </si>
  <si>
    <t>Wilson Creek High</t>
  </si>
  <si>
    <t>Winlock School District</t>
  </si>
  <si>
    <t>Winlock Middle School</t>
  </si>
  <si>
    <t>Winlock Miller Elementary</t>
  </si>
  <si>
    <t>Winlock Senior High</t>
  </si>
  <si>
    <t>Winolequa Learning Academy</t>
  </si>
  <si>
    <t>Wishkah Valley School District</t>
  </si>
  <si>
    <t>Wishkah Valley Elementary/High School</t>
  </si>
  <si>
    <t>Wishram School District</t>
  </si>
  <si>
    <t>Wishram High And Elementary Schl</t>
  </si>
  <si>
    <t>Woodland School District</t>
  </si>
  <si>
    <t>Lewis River Academy</t>
  </si>
  <si>
    <t>TEAM High School</t>
  </si>
  <si>
    <t>Woodland High School</t>
  </si>
  <si>
    <t>Woodland Intermediate School</t>
  </si>
  <si>
    <t>Woodland Middle School</t>
  </si>
  <si>
    <t>Woodland Primary School</t>
  </si>
  <si>
    <t>Yale Elementary</t>
  </si>
  <si>
    <t>Yakama Nation Tribal Compact</t>
  </si>
  <si>
    <t>Yakama Nation School</t>
  </si>
  <si>
    <t>Yakima School District</t>
  </si>
  <si>
    <t>Barge-Lincoln Elementary School</t>
  </si>
  <si>
    <t>Davis High School</t>
  </si>
  <si>
    <t>Discovery Lab School</t>
  </si>
  <si>
    <t>Eisenhower High School</t>
  </si>
  <si>
    <t>Franklin Middle School</t>
  </si>
  <si>
    <t>Gilbert Elementary School</t>
  </si>
  <si>
    <t>Hoover Elementary School</t>
  </si>
  <si>
    <t>Juvenile Detention Center</t>
  </si>
  <si>
    <t>Lewis &amp; Clark Middle School</t>
  </si>
  <si>
    <t>Martin Luther King Jr Elementary</t>
  </si>
  <si>
    <t>Mcclure Elementary School Yakima</t>
  </si>
  <si>
    <t>Mckinley Elementary School</t>
  </si>
  <si>
    <t>Nob Hill Elementary School</t>
  </si>
  <si>
    <t>Ridgeview Group Home</t>
  </si>
  <si>
    <t>Robertson Elementary</t>
  </si>
  <si>
    <t>Stanton Academy</t>
  </si>
  <si>
    <t>Whitney Elementary Yakima</t>
  </si>
  <si>
    <t>Wilson Middle School</t>
  </si>
  <si>
    <t>Yakima Adult Jail</t>
  </si>
  <si>
    <t>Yakima Online</t>
  </si>
  <si>
    <t>Yakima Open Doors</t>
  </si>
  <si>
    <t>Yakima Satellite Alternative Programs</t>
  </si>
  <si>
    <t>Yakima Valley Technical Skills Center</t>
  </si>
  <si>
    <t>Yelm School District</t>
  </si>
  <si>
    <t>Fort Stevens Elementary</t>
  </si>
  <si>
    <t>Lackamas Elementary</t>
  </si>
  <si>
    <t>McKenna Elementary</t>
  </si>
  <si>
    <t>Mill Pond Elementary School</t>
  </si>
  <si>
    <t>Ridgeline Middle School</t>
  </si>
  <si>
    <t>Southworth Elementary</t>
  </si>
  <si>
    <t>Yelm Extension School</t>
  </si>
  <si>
    <t>Yelm High School 12</t>
  </si>
  <si>
    <t>Yelm Middle School</t>
  </si>
  <si>
    <t>Yelm Prairie Elementary</t>
  </si>
  <si>
    <t>Zillah School District</t>
  </si>
  <si>
    <t>Hilton Elementary School</t>
  </si>
  <si>
    <t>Zillah High School</t>
  </si>
  <si>
    <t>Zillah Intermediate School</t>
  </si>
  <si>
    <t>Zillah Middle School</t>
  </si>
  <si>
    <t>INSTITUTION</t>
  </si>
  <si>
    <t>Antioch University Seattle</t>
  </si>
  <si>
    <t>Central Washington University</t>
  </si>
  <si>
    <t>City University of Seattle</t>
  </si>
  <si>
    <t>Eastern Washington University</t>
  </si>
  <si>
    <t>Gonzaga University</t>
  </si>
  <si>
    <t>Grays Harbor College</t>
  </si>
  <si>
    <t>Heritage University</t>
  </si>
  <si>
    <t>Highline College</t>
  </si>
  <si>
    <t>Northwest Educational Development</t>
  </si>
  <si>
    <t>Northwest University</t>
  </si>
  <si>
    <t>Pacific Lutheran University</t>
  </si>
  <si>
    <t>Pierce College</t>
  </si>
  <si>
    <t>Saint Martin's University</t>
  </si>
  <si>
    <t>Seattle Pacific University</t>
  </si>
  <si>
    <t>Seattle University</t>
  </si>
  <si>
    <t>The Evergreen State College</t>
  </si>
  <si>
    <t>University of Puget Sound</t>
  </si>
  <si>
    <t>Walla Walla University</t>
  </si>
  <si>
    <t>Washington State University</t>
  </si>
  <si>
    <t>Western Governors University-WA</t>
  </si>
  <si>
    <t>Western Washington University</t>
  </si>
  <si>
    <t>Whitworth University</t>
  </si>
  <si>
    <t>Yakima Valley College</t>
  </si>
  <si>
    <t>FIELD NAME</t>
  </si>
  <si>
    <t>FORMAT</t>
  </si>
  <si>
    <t>LENGTH</t>
  </si>
  <si>
    <t>DEFINITION</t>
  </si>
  <si>
    <t>assess_code</t>
  </si>
  <si>
    <t>int</t>
  </si>
  <si>
    <t>assess_name</t>
  </si>
  <si>
    <t>varchar</t>
  </si>
  <si>
    <t>asset_aux</t>
  </si>
  <si>
    <t>10 = Prior Work Experience                       20 = Academic Preparation  and Performance                  30 = Interview and Application Materials                            40 = Goodness of Fit                                           50 = Cultural Responsiveness                           90 = Other</t>
  </si>
  <si>
    <t>asset_prime</t>
  </si>
  <si>
    <t>bldg_code</t>
  </si>
  <si>
    <t>comp_flg</t>
  </si>
  <si>
    <t xml:space="preserve">1 = Yes                                             0 = No          </t>
  </si>
  <si>
    <t>cred_role</t>
  </si>
  <si>
    <t>cred_type</t>
  </si>
  <si>
    <t>cw_completion_date</t>
  </si>
  <si>
    <t xml:space="preserve">SM = summer term                                FL = fall term or semester                        WN = winter term                    SP = spring term or semester </t>
  </si>
  <si>
    <t>cwtest_completion_date</t>
  </si>
  <si>
    <t>decision</t>
  </si>
  <si>
    <t>deficiency_prime</t>
  </si>
  <si>
    <t>dist_code</t>
  </si>
  <si>
    <t>endorse_complete_date</t>
  </si>
  <si>
    <t>endorse_recommend</t>
  </si>
  <si>
    <t>1 = recommended                    0 = not recommended</t>
  </si>
  <si>
    <t>enroll_date</t>
  </si>
  <si>
    <t xml:space="preserve">SM = summer term                                       FL = fall term or semester                        WN = winter term                    SP = spring term or semester </t>
  </si>
  <si>
    <t>exit_date</t>
  </si>
  <si>
    <t xml:space="preserve">SM = summer term                              FL = fall term or semester                        WN = winter term                    SP = spring term or semester </t>
  </si>
  <si>
    <t>exit_reason</t>
  </si>
  <si>
    <t>first_gen</t>
  </si>
  <si>
    <t>first_lang_Eng</t>
  </si>
  <si>
    <t>gender</t>
  </si>
  <si>
    <t>passed</t>
  </si>
  <si>
    <t>pesb_data</t>
  </si>
  <si>
    <t xml:space="preserve">1 = Yes                                              0 = No          </t>
  </si>
  <si>
    <t>pesb_data_sat</t>
  </si>
  <si>
    <t xml:space="preserve">1 = Very Dissatisfied                    2 = Somewhat Dissatisfied                                3 = Neither Satisfied nor Dissatisfied                                      4 = Somewhat Satisfied                            5 = Very Satisfied </t>
  </si>
  <si>
    <t>prac_outcome</t>
  </si>
  <si>
    <t>prac_type</t>
  </si>
  <si>
    <t xml:space="preserve">10 = student teaching                        20 = internship - principal school hours                               30 =  internship - principal non-school hours                                    40 = internship other admin                                            50 = internship ESA                                     60 = CTE B&amp;I Practicum                       70 = other clinical                       80 = residency                 </t>
  </si>
  <si>
    <t>prev_degree</t>
  </si>
  <si>
    <t xml:space="preserve">1 = Yes                                                0 = No          </t>
  </si>
  <si>
    <t>prog_award_level</t>
  </si>
  <si>
    <t>10 = Bachelor's degree                                              20 = Master's degree                                             30 = Doctoral degree                                            0 = Certificate or endorsement</t>
  </si>
  <si>
    <t>prog_conc_CIP</t>
  </si>
  <si>
    <t>prog_field_CIP</t>
  </si>
  <si>
    <t>prog_term_type</t>
  </si>
  <si>
    <t>1 = 4 quarters                             2 = 2 semesters                            3 = J-term system                         0 = other</t>
  </si>
  <si>
    <t>prog_type</t>
  </si>
  <si>
    <t>recommend</t>
  </si>
  <si>
    <t>recommendation</t>
  </si>
  <si>
    <t>0 = No recommendation                             10 = Recruitment                       20 = Selection                            30 = Field Experience                  40 = Assessments                                     50 = Curriculum                         60 = Transition to Workforce                                     70 = Governance                                     80 = Candidate Advancement                         90 = Resources                              95 =  Commendation                                       99 = Other</t>
  </si>
  <si>
    <t>rubric_name_edTPA</t>
  </si>
  <si>
    <t>summer_lead</t>
  </si>
  <si>
    <t>test_code</t>
  </si>
  <si>
    <t>Title_II_flag</t>
  </si>
  <si>
    <t>1 = Yes, student is a Title II completer                                         0 = No, student is not a Title II completer</t>
  </si>
  <si>
    <t>1 = male                                        2 = female                                           3 = X                                                9 = unknown or declined</t>
  </si>
  <si>
    <t>See Tab D</t>
  </si>
  <si>
    <t>See Tab C</t>
  </si>
  <si>
    <t>See CIP Tables located on the NCES site</t>
  </si>
  <si>
    <t>See Tab B</t>
  </si>
  <si>
    <t>See PESB Assessment Code file</t>
  </si>
  <si>
    <t>inst_code</t>
  </si>
  <si>
    <t>See Tab E</t>
  </si>
  <si>
    <t>C112</t>
  </si>
  <si>
    <t>C001</t>
  </si>
  <si>
    <t>inst_enroll_term</t>
  </si>
  <si>
    <t>term for which institution term dates are being reported</t>
  </si>
  <si>
    <t>VALID VALUES</t>
  </si>
  <si>
    <t>year</t>
  </si>
  <si>
    <t>stu_id</t>
  </si>
  <si>
    <t>deficiency_clear_date</t>
  </si>
  <si>
    <t>deficiency_aux</t>
  </si>
  <si>
    <t>endorse_code_initial</t>
  </si>
  <si>
    <t>deficiency_prime_txt</t>
  </si>
  <si>
    <t>deficiency_aux_txt</t>
  </si>
  <si>
    <t>test_date</t>
  </si>
  <si>
    <t>score</t>
  </si>
  <si>
    <t>prac_name</t>
  </si>
  <si>
    <t>lead_mentor_cert</t>
  </si>
  <si>
    <t>prac_start</t>
  </si>
  <si>
    <t>prac_hours</t>
  </si>
  <si>
    <t>inst_enroll_year</t>
  </si>
  <si>
    <t>course_campus</t>
  </si>
  <si>
    <t>campus_enroll_term_sys</t>
  </si>
  <si>
    <t>campus_enroll_term_start</t>
  </si>
  <si>
    <t>campus_enroll_term_end</t>
  </si>
  <si>
    <t>campus_enroll_census</t>
  </si>
  <si>
    <t>mtg_date</t>
  </si>
  <si>
    <t>date</t>
  </si>
  <si>
    <t>exp_num</t>
  </si>
  <si>
    <t>attend_num</t>
  </si>
  <si>
    <t>prev_yr_response</t>
  </si>
  <si>
    <t>prog_award_name</t>
  </si>
  <si>
    <t>prog_id</t>
  </si>
  <si>
    <t>prog_award_req_cred</t>
  </si>
  <si>
    <t>prog_length_min</t>
  </si>
  <si>
    <t>prog_length_max</t>
  </si>
  <si>
    <t xml:space="preserve">prog_field </t>
  </si>
  <si>
    <t xml:space="preserve">prog_conc </t>
  </si>
  <si>
    <t>first_name</t>
  </si>
  <si>
    <t>last_name</t>
  </si>
  <si>
    <t>middle_name</t>
  </si>
  <si>
    <t>birth_date</t>
  </si>
  <si>
    <t>ssn</t>
  </si>
  <si>
    <t>crntyr_endorse_active</t>
  </si>
  <si>
    <t>waitlist_date</t>
  </si>
  <si>
    <t>alt_comp_demo_txt3</t>
  </si>
  <si>
    <t>lead_mentor_contact</t>
  </si>
  <si>
    <t>terms_attended</t>
  </si>
  <si>
    <t>stand_rev</t>
  </si>
  <si>
    <t>prog_data</t>
  </si>
  <si>
    <t>prog_data_sat</t>
  </si>
  <si>
    <t>Domain</t>
  </si>
  <si>
    <t>A</t>
  </si>
  <si>
    <t>Providers conduct strategic and ongoing outreach to identify, recruit, admit, support, and transition educator candidates.</t>
  </si>
  <si>
    <t>Create, foster, and utilize effective partnerships to promote careers in education and educational leadership.</t>
  </si>
  <si>
    <t>i</t>
  </si>
  <si>
    <t>ii</t>
  </si>
  <si>
    <t>iii</t>
  </si>
  <si>
    <t>iv</t>
  </si>
  <si>
    <t>Implement a targeted, data-informed outreach strategy that includes robust individualized enrollment support.</t>
  </si>
  <si>
    <t>Establish and monitor attributes and dispositions beyond academic ability that candidates must demonstrate at admissions and during the program.</t>
  </si>
  <si>
    <t>B</t>
  </si>
  <si>
    <t>C</t>
  </si>
  <si>
    <t>Demonstrate strategic outreach that is highly accessible and responsive to local communities of color.</t>
  </si>
  <si>
    <t>Gather and use data to assess strategic outreach to improve responsiveness and effectiveness.</t>
  </si>
  <si>
    <t>Identify needs and provide supports for enrollment and success in Educator Preparation Programs for local communities of color and candidates representing linguistic and ability diversity.</t>
  </si>
  <si>
    <t>Articulate clear criteria and for program entry requirements to applicants.</t>
  </si>
  <si>
    <t>Articulate clear expectations for program completion to applicants and candidates.</t>
  </si>
  <si>
    <t>Component Area</t>
  </si>
  <si>
    <t>Components</t>
  </si>
  <si>
    <t>Providers demonstrate effective, culturally responsive pedagogy using multiple instructional methods, formats, and assessments.</t>
  </si>
  <si>
    <t>Qualified faculty use multiple instructional strategies, pedagogies, and assessments to address students’ academic language ability levels and cultural and linguistic backgrounds.</t>
  </si>
  <si>
    <t>Providers create opportunities for faculty and program personnel to pursue, apply, and practice ongoing professional learning to improve their knowledge, skill, effectiveness, and cultural responsiveness.</t>
  </si>
  <si>
    <t>Providers ensure that candidates demonstrate the necessary subject matter knowledge for success as educators in schools.</t>
  </si>
  <si>
    <t>Teacher candidates engage with the Since Time Immemorial curriculum focused on history, culture, and government of American Indian peoples as prescribed in WAC 181-78A-300(3).</t>
  </si>
  <si>
    <t>Providers ensure that candidates demonstrate pedagogical knowledge and skill relative to the national professional standards adopted by the Board for the role for which candidates are being prepared.</t>
  </si>
  <si>
    <t>Faculty and mentors provide regular and ongoing feedback to candidates regarding field based performance that is actionable and leads to improvement in candidates’ practice.</t>
  </si>
  <si>
    <t>Providers demonstrate through structured observation, discussion, surveys, and / or artifacts that completers effectively apply the professional knowledge, skills, and dispositions that the preparation program was designed to achieve.</t>
  </si>
  <si>
    <t>Providers ensure that candidates are well prepared to exhibit the knowledge and skills of culturally responsive educators.</t>
  </si>
  <si>
    <t>Providers offer all candidates meaningful, reflective opportunities to interact with racially and culturally diverse colleagues, faculty, P-12 practitioners, and P-12 students and families.</t>
  </si>
  <si>
    <t>Providers prepare candidates to adapt their practices based on students’ prior experiences, cultural knowledge, and frames of reference to make learning encounters more relevant and effective.</t>
  </si>
  <si>
    <t> Providers require candidates to demonstrate knowledge of educator evaluation research and Washington’s evaluation requirements.</t>
  </si>
  <si>
    <t>Providers ensure educator candidates examine Washington’s evaluation requirements, criteria, four-tiered performance rating system, student growth goals, and the preferred instructional frameworks used to describe the evaluation criteria.</t>
  </si>
  <si>
    <t>Providers ensure educator candidates demonstrate knowledge and skill in self-assessment, goal setting, and reflective practice.</t>
  </si>
  <si>
    <t>Providers of principal and superintendent programs ensure candidates examine and practice classroom observation skills that recognize and limit bias and promote rater agreement on the four-tiered system.</t>
  </si>
  <si>
    <t>Providers of principal and superintendent programs ensure candidates demonstrate knowledge and skill using student growth data and multiple measures of performance for use in evaluations.</t>
  </si>
  <si>
    <t>Providers of principal and superintendent programs ensure candidates demonstrate knowledge and skill in the use of an online tool to manage the collection of observation notes, teacher and principal submitted materials, and other information related to the conduct of the evaluation.</t>
  </si>
  <si>
    <t> Providers of principal and superintendent programs ensure candidates demonstrate knowledge and skill conducting evaluation conferences and developing teacher and principal support plans resulting from evaluations.</t>
  </si>
  <si>
    <t>v</t>
  </si>
  <si>
    <t>vi</t>
  </si>
  <si>
    <t>D</t>
  </si>
  <si>
    <t>E</t>
  </si>
  <si>
    <t>Candidate knowledge, skills, and cultural responsiveness - Educator Preparation Program providers prepare candidates who demonstrate the knowledge, skills, and cultural responsiveness required for the particular certificate and areas of endorsement, which reflect the state’s approved standards.</t>
  </si>
  <si>
    <t>Novice practitioners - Educator Preparation Programs prepare candidates who are role ready.</t>
  </si>
  <si>
    <t>Providers prepare candidates to engage in their role and context upon completion of Educator Preparation Programs.</t>
  </si>
  <si>
    <t>The provider demonstrates that program completers perceive their preparation as relevant to the responsibilities they confront on the job and that the preparation was effective.</t>
  </si>
  <si>
    <t>Inform and orient candidates to Washington State processes of certification, licensure, endorsements, and ongoing professional learning opportunities and requirements as they apply to the role for which the candidate is being certified.</t>
  </si>
  <si>
    <t>Prepare educators to understand and demonstrate achievement and improvement in their practice.</t>
  </si>
  <si>
    <t> Prepare candidates for their role in directing, supervising, and collaborating with paraeducators.</t>
  </si>
  <si>
    <t>Prepare teacher candidates to direct paraeducators working with students in the classroom.</t>
  </si>
  <si>
    <t>Prepare administrator candidates to supervise and evaluate paraeducators in schools.</t>
  </si>
  <si>
    <t>Candidates and Cohorts - Educator Prepartion Programs recruit, select ,and  prepare diverse cohorts of candidates with potentional to be outstanding educators.</t>
  </si>
  <si>
    <t>Establish and develop partnerships (e.g. schools, districts, community colleges, workforce boards, etc.) to understand educator workforce surplus and shortages.</t>
  </si>
  <si>
    <t>Providers use preparation program and workforce data in cooperation with professional educator advisory boards to assess and respond to local and state educator workforce needs.</t>
  </si>
  <si>
    <t>Analyze enrollment, preparation process, and outcomes data to understand programs’ process and performance relative to local and state educator workforce needs.</t>
  </si>
  <si>
    <t>Meet the content area needs identified by workforce data of the state and the region.</t>
  </si>
  <si>
    <t xml:space="preserve">Components </t>
  </si>
  <si>
    <t>Maintain a data infrastructure that enables storage, tracking, and reporting functions to meet annual data submission requirements and assess program design and outcomes in alignment with state standards.</t>
  </si>
  <si>
    <t>Systematically and comprehensively gather data and evidence on recruitment, retention, candidate learning, and program operations.</t>
  </si>
  <si>
    <t>Faculty, administrators, and professional educator advisory board members collaborate for program review and improvement.</t>
  </si>
  <si>
    <t>Gather and submit additional program and candidate data as requested by the Professional Educator Standards Board as needed to complete all aspects of the program review process.</t>
  </si>
  <si>
    <t>Providers establish and maintain field placement practices, relationships, and agreements with all school districts in which candidates are placed for field experiences leading to certification or endorsement per WAC 181-78A-125 and WAC 181-78A-300.</t>
  </si>
  <si>
    <t>The program provider and their school partners cooperatively design, implement, and evaluate field experiences and clinical practices conforming to Board standards and requirements for the role.</t>
  </si>
  <si>
    <t>Integrate assignments, assessments, and actionable feedback throughout candidates’ field experiences.</t>
  </si>
  <si>
    <t>Provide faculty supervision, including on-site visits, on an ongoing basis.</t>
  </si>
  <si>
    <t>Identify and recruit mentors for candidates who are educational leaders collaboratively with the partner school(s) or district(s).</t>
  </si>
  <si>
    <t>Ensure that candidates’ mentors are fully certificated school personnel and have a minimum of three years of professional experience in the role they are supervising.</t>
  </si>
  <si>
    <t>Effectiveness of mentor preparation and communication are reviewed annually by program faculty.</t>
  </si>
  <si>
    <t>Ensure that educator candidates are fingerprinted and have completed required clearance prior to placement in field experience settings.</t>
  </si>
  <si>
    <t>Providers ensure that candidates participate in field experiences in school settings with students and teachers who differ from themselves in race, ethnicity, home language, socio-economic status, or local population density.</t>
  </si>
  <si>
    <t>Field experiences provide opportunities to work in communities or with student populations with backgrounds dissimilar to the background of the candidate.</t>
  </si>
  <si>
    <t>Candidates have opportunities to design, implement, and receive feedback on cultural responsiveness in lessons, assignments, and activities.</t>
  </si>
  <si>
    <t>vii</t>
  </si>
  <si>
    <t>Program resources and governance - Providers ensure that programs have adequate resources, facilities, and governance structures to enable effective administration and fiscal sustainability.</t>
  </si>
  <si>
    <t> Providers ensure that programs utilize a separate administrative unit responsible for the composition and organization of the preparation program.</t>
  </si>
  <si>
    <t>An officially designated administrator is responsible for the composition and organization of the preparation program.</t>
  </si>
  <si>
    <t>Providers ensure that programs have adequate personnel to promote teaching and learning.</t>
  </si>
  <si>
    <t>Workload policies allow program personnel to effectively perform their assigned responsibilities within the program.</t>
  </si>
  <si>
    <t>Specific program personnel are assigned the responsibility of advising applicants for certification and endorsements and for maintaining certification records.</t>
  </si>
  <si>
    <t>The program has adequate field supervisors and other support personnel.</t>
  </si>
  <si>
    <t>Providers ensure that programs have adequate facilities and resources to promote teaching and learning.</t>
  </si>
  <si>
    <t>The program has the necessary classrooms, lab space, office space, and/or other facilities.</t>
  </si>
  <si>
    <t>The program has technology, library, curricular, and electronic information resources.</t>
  </si>
  <si>
    <t>The facilities support faculty and candidate use of technology.</t>
  </si>
  <si>
    <t xml:space="preserve">select </t>
  </si>
  <si>
    <t>Mentors and school leaders are provided with a set of internship expectations and receive, or provide evidence of having received, training and experience mentoring adult learners and culturally responsive teaching and learning.</t>
  </si>
  <si>
    <t>component</t>
  </si>
  <si>
    <t>Inform, advise, and support potential candidates on assessment requirements, timelines, occupational experience requirements, and passing thresholds for PESB approved basic skills, content, and pedagogy assessments, as required for the role.</t>
  </si>
  <si>
    <t xml:space="preserve">Providers of career and technical education plan 2 programs establish and expand meaningful and effective recruitement and admissions partnerships with local school districts. </t>
  </si>
  <si>
    <t xml:space="preserve">Faculty within the program and the unit collaborate among one another, with content specialists, P-12 schools, members of the broader professional community, and diverse members of local communities for continuous program improvement. </t>
  </si>
  <si>
    <t>The faculty members and program leaders systematically and comprehensively evaluate faculty’s effectiveness in teaching and learning.</t>
  </si>
  <si>
    <t>Candidates demonstrate knowledge and competence relative to the national standards related to the role, which were adopted by the Professional Educator Standards Board. Providers ensure that candidates in teacher preparation programs demonstrate most recently published InTASC Standards, candidates in principal programs demonstrate NELP –Building Level Standards, candidates in superintendent programs demonstrate NELP – District Level Standards, and candidates in career and technical education educator programs demonstrat and document the career and tchncial education standards approved the Professional Educator Standards Board.</t>
  </si>
  <si>
    <t>Teacher candidates must take a Board approved basic skills assessment prior to program admission and take an endorsement assessment prior to beginning student teaching. Endorsement assessments are not required for teacher candidates in CTE plan 2 programs.</t>
  </si>
  <si>
    <t>Teacher candidates apply content knowledge as reflected in Board approved endorsement standards. Endorsement standards are not applied to CTE plan 2 programs.</t>
  </si>
  <si>
    <t>Providers ensure that educator candidates complete a course on issues of abuse as required by RCW 28A.410.035 and WAC 181-79A-030(9).</t>
  </si>
  <si>
    <t>Providers ensure that teacher candidates achieve passing scores on the teacher performance assessment, a.k.a. pedagogy assessment, approved by the Professional Educator Standards Board. The teacher performance assessment is not rquired for teacher candidates in career and technical education plan 2 programs.</t>
  </si>
  <si>
    <t>Providers of teacher preparation programs develop and utilize candidate recruitment strategies that address state and district, and workforce shortage areas.</t>
  </si>
  <si>
    <t>Providers of Educator Preparation Programs use strategies to recruit, admit, and prepare a greater number of candidates from underrepresented groups including, but not limited to, candidates of color in effort to prepare and educator workforce that mirrors the characteristics of the student population in Washington State public schools.</t>
  </si>
  <si>
    <t>Providers set, publish, and uphold program admission standards to ensure that all educator candidates and cohorts are academically capable and technically prepared to succeed in Educator Preparation Programs.</t>
  </si>
  <si>
    <t>Providers ensure that candidates demonstrate knowledge of the paraeducators standards of practice, as published by the Paraeducator Board.</t>
  </si>
  <si>
    <t xml:space="preserve">Providers of career and technical educator preparation programs praovid candidates all necessary guidance to document, demonstrate, and submit for approval the required hours of occupational experience. </t>
  </si>
  <si>
    <t>Providers ensure coursework explicitly focuses on cultural responsiveness and integrates components of culturally responsive education within and throughout all courses.</t>
  </si>
  <si>
    <t xml:space="preserve">Faculty explicitly model equity pedagogy in coursework and practice in ways that enable candidates to integrate their own cultural and linguistic  backgrounds into classroom activities. </t>
  </si>
  <si>
    <t>Providers demonstrate that completers effectively apply the professional knowledge, skills, dispositions, and technical proficiency that the preparation experiences were designed to achieve.</t>
  </si>
  <si>
    <t>Faculty and supervisors contextualize educators’ practice within contemporary socio-political context and administrative regulations in schools and districts.</t>
  </si>
  <si>
    <t>Providers prepare candidates to seek new learning to remain current in relevant subject area(s), educational theories, practices, research, ethical practice, and industry best practices in career and technical education.</t>
  </si>
  <si>
    <t>Ensure that all teacher education candidates who complete the program exit the residency certificate program with a Professional Growth Plan, according to the guidance provided by the Professional Educator Standards Board.</t>
  </si>
  <si>
    <t>State and local educator workforce needs - Educator Preparation Programs contribute positively to state and local educator workforce needs.</t>
  </si>
  <si>
    <t>Providers partner with local schools, districts , and communities to assess and respond to educator workforce, student learning, and educators’ professional learning needs.</t>
  </si>
  <si>
    <t>Maintain and use partnerships to gather anecdotes, contacts, and data points that identify and describe local workforce needs.</t>
  </si>
  <si>
    <t>Providers use local and state workforce data to identify and monitor state and local educator shortages across local districts, industries, and content areas relevant for the roles for which the program recommends certification.</t>
  </si>
  <si>
    <t>Present to professional educator advisory boards workforce data and program analyses to develop program goals and strategies that can be enacted to meaningfully address state and local workforce needs.</t>
  </si>
  <si>
    <t>Providers of teacher educator preparation programs prepare and recommend increasing numbers of candidates in endorsement and broad areas identified by the Professinal Educator Standards Board as educator workforce priorities.</t>
  </si>
  <si>
    <t>Recruit and prepare candidates for content areas in response to local and state workforce needs.</t>
  </si>
  <si>
    <t>Data and assessment systems - Educator Preparation Programs maintain data and assessment systems that are sufficient to evaluate program performance, direct program decision-making, and fulfill the reporting requirements of the Professional Educator Standards Board.</t>
  </si>
  <si>
    <t>Providers develop and maintain effective data systems that are sufficient for program growth, evaluation, and mandated reporting.</t>
  </si>
  <si>
    <t>Collect, store, and report data according to the structure according to the Data Manual and Report Guidance published by the Professional Educator Standards Board.</t>
  </si>
  <si>
    <t>Data and assessment systems include processes and safeguards that ensure fair and unbiased assessment of candidates.</t>
  </si>
  <si>
    <t>Providers utilize secure data practices for storing, monitoring, reporting, and using data for program improvement.</t>
  </si>
  <si>
    <t>Develop, publish, and maintain program-specific standards for data security, access, and governance.</t>
  </si>
  <si>
    <t>The professional educator advisory board(s) annually review(s) and analyzes data for the purposes of determining whether candidates have a positive impact on student learning and provide the institution with recommendations for programmatic change.</t>
  </si>
  <si>
    <t>Program leaders aggregate program and candidate data over time and incorporate perspectives of faculty, data administrators, candidates, professional educator advisory boards, and P-12 partners to inform program decision-making.</t>
  </si>
  <si>
    <t>Programs consider and respond in writing to recommendations for program change from the members of the professional education advisory board.</t>
  </si>
  <si>
    <t>Programs produce and utilize data reports in accordance with data and reporting guidance published by the Professional Educator Standards Board.</t>
  </si>
  <si>
    <t>Data administrators submit annual data reports according to data manual, schedule, and reporting guidance adopted by the Professinal Educator Standards Board.</t>
  </si>
  <si>
    <t>Field experience and clinical practice - Educator Preparation Providers offer field-based learning experiences and formalized clinical practice experiences for candidates to develop and demonstrate the knowledge and skills needed for their role.</t>
  </si>
  <si>
    <t>Clinical practice for teacher candidates in programs approved to offer traditional routes to teacher cerrtification must consist of no less than four hundred fifty hours in a classroom setting, with a qualifying mentor teacher. Clinical practice for teacher candidates in programs approved to offer Alternative Routes to certification must consiste of no less than five hundred forty hours in a classroom setting, with a qualifying mentor.</t>
  </si>
  <si>
    <t>Principal candidates complete an internship for a full school year, consisting of at least five hundred forty hours, half of which must be during school hours, when students and / or staff are present. Interning candidates must demonstrate that she or he has the appropriate, specific skills pursuant to the standards identified in WAC 181-78A-220 and WAC 181-78A-232 and meets, at minimum, the standards-based benchmarks approved and published by the Professional Educator Standards Board.</t>
  </si>
  <si>
    <t>Superintendent candidates must complete an internship of at least three hundred sixty hours. Interning candidate must demonstrate that they have the appropriate, specific skills pursuant to the standards identified in WAC 181-78A-220 and WAC 181-78A-232.</t>
  </si>
  <si>
    <t>Candidates in career and technical education teacher preparation programs as described in WAC 181-77-031 must complete a student teaching experience of at least four hundred fifty hours in the relevant CTE area.  Candidates must demonstrate that they have the appropriate, specific skills pursuant to the standards identified in the career and technical education standards approved by the Professional Educator Standards Board.</t>
  </si>
  <si>
    <t xml:space="preserve">Providers articulate in writing clear entry and exit criteria for the field experience as well as a process for mitigating concerns during clinical practice, which are provided for candidates, school leader(s), and the mentor. </t>
  </si>
  <si>
    <t>Providers ensure that candidates integrate knowledge and skills developed through field and industry experiences with the content of programs’ coursework.</t>
  </si>
  <si>
    <t>Providers offer field experiences in which teacher and principal candidates plan, practice, discuss, and reflect upon methods of instruction and differentiation, and all educator candidates demonstrate that they have the appropriate, specific relevant skills pursuant to WAC 181-78A-220, 181-78A-232 and 181-78A-300.</t>
  </si>
  <si>
    <t>Providers offer field experiences and related testing requirements in accordance with WAC 181-78A-300(1) and Board approved candidate assessment requirements.</t>
  </si>
  <si>
    <t>Ensure that educator candidates are placed in settings where they can be evaluated and given feedback.</t>
  </si>
  <si>
    <t>Ensure that teacher candidates have completed assessment requirements in accordance with WAC 181-78A-300(2) corresponding with their endorsement area prior to beginning field based experience.</t>
  </si>
  <si>
    <t>Course assignments and discussions offer candidates opportunities to reflect upon interactions with diverse populations and communities in order to integrate professional growth in cultural responsiveness as a habit of practice.</t>
  </si>
  <si>
    <t>Budgetary allocations are sufficient for the program to assure that candidates meet state standards and requirements of the Professional Educator Standards Board.</t>
  </si>
  <si>
    <t>Providers prepare candidates to develop reflective, collaborative, professional growth-centered practices through regular evaluation of the effects of their practice through feedback and reflection.</t>
  </si>
  <si>
    <t>Share among faculty, staff and professional educator advisory boards program's current effectiveness addressing state and local workforce needs.</t>
  </si>
  <si>
    <t>Candidates in CTE plan 2 programs must complete a practicum. Candidates must demonstrate that they have the appropriate, specific skills pursuant to the standards identified in the career and technical education standards approved by the Professional Educator Standards Board.</t>
  </si>
  <si>
    <t>asset_aux_txt</t>
  </si>
  <si>
    <t>asset_prime_txt</t>
  </si>
  <si>
    <t>recommend_txt</t>
  </si>
  <si>
    <t>10 = Route 1                                 20 = Route 2                                    30 = Route 3                                      40 = Route 4                                     45 =  Principal                                        50 = Traditional                                      55 = Superintendent                                        65 = Program Administrator                                          70 = CTE Plan 1                                   75  CTE Adminstrator                            80 = CTE Plan 2 (B &amp; I)                                             85 = School Counselor                                       90 = Unknown                                          95 = School Psychologist</t>
  </si>
  <si>
    <t>10 = Teacher                                11 = Alt Route 1                                     12 = Alt Route 2                                     13 = Alt Route 3                                        14 = Alt Route 4                                20 = Principal                                     30 = Program Admin                       40 = Superintendent                       50 = School Psychologist                        60 = School Counselor                     70 = CTE Teacher                       80 = CTE Director                       90 = CTE Counselor                       100 = CTE Occupational Information Specialist</t>
  </si>
  <si>
    <t>10 = Initial certification for teacher or administrator role                                       20 = Add-on teacher endorsement                                30 = Professional certificate                                        40 = Other</t>
  </si>
  <si>
    <t xml:space="preserve">1 = accepted                                2 = conditionally accepted                                3 = waitlisted                                 4 = accepted, did not enroll                                  5 = decision pending                                     0 = not accepted    </t>
  </si>
  <si>
    <t>prac_hours2</t>
  </si>
  <si>
    <t>KAMPUCHEAN  (CAMBODIAN)</t>
  </si>
  <si>
    <t xml:space="preserve">FORMOSAN </t>
  </si>
  <si>
    <t>University of Washington - Seattle</t>
  </si>
  <si>
    <t>University of Washington - Tacoma</t>
  </si>
  <si>
    <t>University of Washington - Bothell</t>
  </si>
  <si>
    <t>4854B</t>
  </si>
  <si>
    <t>4854S</t>
  </si>
  <si>
    <t>4854T</t>
  </si>
  <si>
    <t>Placement outside of USA</t>
  </si>
  <si>
    <t>N/A</t>
  </si>
  <si>
    <t>Assessment Name</t>
  </si>
  <si>
    <t>Valid Value</t>
  </si>
  <si>
    <t>SAT</t>
  </si>
  <si>
    <t>ACT</t>
  </si>
  <si>
    <t>See Tab G for full list of accepted assessments and valid values</t>
  </si>
  <si>
    <t>CBEST</t>
  </si>
  <si>
    <t>WEST-B</t>
  </si>
  <si>
    <t>ALST</t>
  </si>
  <si>
    <t>CASA</t>
  </si>
  <si>
    <t>GK</t>
  </si>
  <si>
    <t>GACE</t>
  </si>
  <si>
    <t>MoGEA</t>
  </si>
  <si>
    <t>Minnesota NES Essential Academic Skills</t>
  </si>
  <si>
    <t>MTEL</t>
  </si>
  <si>
    <t>MTLE</t>
  </si>
  <si>
    <t>OGET</t>
  </si>
  <si>
    <t>Professional Readiness Exam</t>
  </si>
  <si>
    <t>PAPA</t>
  </si>
  <si>
    <t>TAP</t>
  </si>
  <si>
    <t>THEA</t>
  </si>
  <si>
    <t>VCLA</t>
  </si>
  <si>
    <t>Praxis I</t>
  </si>
  <si>
    <t>Praxis Core</t>
  </si>
  <si>
    <t>NES - Essential Skills</t>
  </si>
  <si>
    <t>1 = dismissed                              2 = withdrawal                                        3 = Leave of absence                                   4 = Change of program                                 5 = Change of alt route designation                          0 = other</t>
  </si>
  <si>
    <t>10 = Satisfactorily completed clinical practice                                                    20 = Practice discontinued due to performance issues                                                                           30 = In-progress                                                                             40 = Did not complete clinical practice                                                   50 = Practice was completed  unsatisfactorily</t>
  </si>
  <si>
    <t>Placement out of state, inside USA</t>
  </si>
  <si>
    <t>Entrance exam not required</t>
  </si>
  <si>
    <t>1 = first generation                   0 = not first generation                       9 = unknown or declined to report</t>
  </si>
  <si>
    <t>1 = yes                                                  0  = no                                          9 = unknown or declined to report</t>
  </si>
  <si>
    <t>South Seattle College</t>
  </si>
  <si>
    <t>C101</t>
  </si>
  <si>
    <t>Olympic College</t>
  </si>
  <si>
    <t>Lower Columbia College</t>
  </si>
  <si>
    <t>Assessment deferred</t>
  </si>
  <si>
    <t>10 = Math                                       20 = Reading                                           30 = Writing                           900 = assessment deferred</t>
  </si>
  <si>
    <t>10 = competency demonstrated via test                                                                   20 = alternative or additional competency demonstration used                                                      30 =  remediation recommended based on test                                             900 = assessment deferred</t>
  </si>
  <si>
    <t>1 = passed                                    0 = did not pass                              99 = edTPA scale                               900 = assessment deferred</t>
  </si>
  <si>
    <t>10 = Praxis                                    20 = WEST-E                                   30 = SAT                                           40 = edTPA                                     50 = ACTFL                                     60 = ACT                                           70 = WEST-B                                    80 = NES                                99 = other</t>
  </si>
  <si>
    <t>NOTE:</t>
  </si>
  <si>
    <t>State universities that use R or H codes may use those codes in lieu of the regular census codes listed here.</t>
  </si>
  <si>
    <t>enroll_cat</t>
  </si>
  <si>
    <t>Enter "DEFER" in the score fields if an assessment has been deferred due to COVID-19</t>
  </si>
  <si>
    <t>if entering a deferred assessment, use 99/99/9999 as the entry for this field.</t>
  </si>
  <si>
    <t>SM = summer term                                FL = fall term or semester                        WN = winter term                    SP = spring term or semester                       DEFER = testing requirement deferred</t>
  </si>
  <si>
    <t>C102</t>
  </si>
  <si>
    <t>Cascadia Technical Academy</t>
  </si>
  <si>
    <t>x</t>
  </si>
  <si>
    <t>Waiting to receive results</t>
  </si>
  <si>
    <r>
      <t>ENTER THIS VALUE IN THE</t>
    </r>
    <r>
      <rPr>
        <b/>
        <i/>
        <sz val="11"/>
        <color theme="1"/>
        <rFont val="Calibri"/>
        <family val="2"/>
        <scheme val="minor"/>
      </rPr>
      <t xml:space="preserve"> </t>
    </r>
    <r>
      <rPr>
        <b/>
        <sz val="14"/>
        <color theme="1"/>
        <rFont val="Calibri"/>
        <family val="2"/>
        <scheme val="minor"/>
      </rPr>
      <t>stand_rev</t>
    </r>
    <r>
      <rPr>
        <sz val="11"/>
        <color theme="1"/>
        <rFont val="Calibri"/>
        <family val="2"/>
        <scheme val="minor"/>
      </rPr>
      <t xml:space="preserve"> ELEMENT FOR STANDARD / DOMAIN  YOUR PEAB DISCUSSED</t>
    </r>
  </si>
  <si>
    <r>
      <t xml:space="preserve">ENTER THIS VALUE IN THE </t>
    </r>
    <r>
      <rPr>
        <b/>
        <sz val="14"/>
        <color theme="1"/>
        <rFont val="Calibri"/>
        <family val="2"/>
        <scheme val="minor"/>
      </rPr>
      <t>component</t>
    </r>
    <r>
      <rPr>
        <sz val="11"/>
        <color theme="1"/>
        <rFont val="Calibri"/>
        <family val="2"/>
        <scheme val="minor"/>
      </rPr>
      <t xml:space="preserve"> ELEMENT FOR THE SPECIFIC COMPONENT OF THE STANDARD / DOMAIN YOUR PEAB DISCUSSED</t>
    </r>
  </si>
  <si>
    <r>
      <t xml:space="preserve">ADD THIS VALUE TO THE  </t>
    </r>
    <r>
      <rPr>
        <b/>
        <sz val="14"/>
        <color theme="1"/>
        <rFont val="Calibri"/>
        <family val="2"/>
        <scheme val="minor"/>
      </rPr>
      <t>stand_rev</t>
    </r>
    <r>
      <rPr>
        <b/>
        <i/>
        <sz val="11"/>
        <color theme="1"/>
        <rFont val="Calibri"/>
        <family val="2"/>
        <scheme val="minor"/>
      </rPr>
      <t xml:space="preserve"> </t>
    </r>
    <r>
      <rPr>
        <sz val="11"/>
        <color theme="1"/>
        <rFont val="Calibri"/>
        <family val="2"/>
        <scheme val="minor"/>
      </rPr>
      <t>element FOR THE COMPONENT AREA OF THE STANDARD / DOMAIN YOUR PEAB DISCUSSED</t>
    </r>
  </si>
  <si>
    <t>AbuBakr Academy</t>
  </si>
  <si>
    <t>802F</t>
  </si>
  <si>
    <t>Academy for Precision Learning</t>
  </si>
  <si>
    <t>Academy Northwest - Marysville</t>
  </si>
  <si>
    <t>803W</t>
  </si>
  <si>
    <t>Academy Schools</t>
  </si>
  <si>
    <t>Alger Learning Center</t>
  </si>
  <si>
    <t>All Saints Catholic School</t>
  </si>
  <si>
    <t>America's Child Montessori</t>
  </si>
  <si>
    <t>Annie Wright Schools</t>
  </si>
  <si>
    <t>Arbor Montessori School</t>
  </si>
  <si>
    <t>Archbishop Murphy High School</t>
  </si>
  <si>
    <t>Arlington Christian School</t>
  </si>
  <si>
    <t>Asia Pacific Language School</t>
  </si>
  <si>
    <t>802P</t>
  </si>
  <si>
    <t>Assumption Catholic School</t>
  </si>
  <si>
    <t>Assumption Parish Catholic School</t>
  </si>
  <si>
    <t>Assumption/St. Bridget School</t>
  </si>
  <si>
    <t>AssumptionCatholic Grade School</t>
  </si>
  <si>
    <t>Auburn Adventist Academy</t>
  </si>
  <si>
    <t>Basic Steps Academy</t>
  </si>
  <si>
    <t>805T</t>
  </si>
  <si>
    <t>Beautiful Savior Lutheran Church Early Learning Center</t>
  </si>
  <si>
    <t>805U</t>
  </si>
  <si>
    <t>Bel-Red Bilingual Academy</t>
  </si>
  <si>
    <t>Bellarmine Preparatory School</t>
  </si>
  <si>
    <t>Bellevue Children's Academy</t>
  </si>
  <si>
    <t>801T</t>
  </si>
  <si>
    <t>Bellevue Christian School</t>
  </si>
  <si>
    <t>Bellevue Montessori School</t>
  </si>
  <si>
    <t>Bellingham Christian School</t>
  </si>
  <si>
    <t>Bertschi School</t>
  </si>
  <si>
    <t>Bethany Lutheran Elementary</t>
  </si>
  <si>
    <t>Bethlehem Lutheran School</t>
  </si>
  <si>
    <t>Big Leaf Montessori</t>
  </si>
  <si>
    <t>803Y</t>
  </si>
  <si>
    <t>Billings Middle School</t>
  </si>
  <si>
    <t>Bishop Blanchet High School</t>
  </si>
  <si>
    <t>BK Academy</t>
  </si>
  <si>
    <t>804P</t>
  </si>
  <si>
    <t>Blossoming Hill Montessori School</t>
  </si>
  <si>
    <t>801U</t>
  </si>
  <si>
    <t>Brewster Adventist Christian School</t>
  </si>
  <si>
    <t>805E</t>
  </si>
  <si>
    <t>Bright Water Waldorf School</t>
  </si>
  <si>
    <t>Brightmont Academy - Redmond</t>
  </si>
  <si>
    <t>Brightmont Academy - Sammamish</t>
  </si>
  <si>
    <t>Brightmont Academy - Seattle</t>
  </si>
  <si>
    <t>Brighton School</t>
  </si>
  <si>
    <t>Brock's Academy</t>
  </si>
  <si>
    <t>Brooklake Christian School</t>
  </si>
  <si>
    <t>Buena Vista Seventh-day Adventist School</t>
  </si>
  <si>
    <t>Burley Christian School</t>
  </si>
  <si>
    <t>Calvary Chapel Christian School</t>
  </si>
  <si>
    <t>Calvary Christian School</t>
  </si>
  <si>
    <t>Camas Christian Academy</t>
  </si>
  <si>
    <t>Capital Montessori School</t>
  </si>
  <si>
    <t>802Q</t>
  </si>
  <si>
    <t>Carpe Diem Academy</t>
  </si>
  <si>
    <t>950P</t>
  </si>
  <si>
    <t>Cascade Christian Academy</t>
  </si>
  <si>
    <t>Cascade Christian Schools - Frederickson Elementary</t>
  </si>
  <si>
    <t>Cascade Christian Schools - Junior High/High School</t>
  </si>
  <si>
    <t>Cascade Christian Schools - McAlder Elementary</t>
  </si>
  <si>
    <t>804C</t>
  </si>
  <si>
    <t>Cascade Christian Schools - Puyallup Elementary</t>
  </si>
  <si>
    <t>Cascades Montessori Middle School</t>
  </si>
  <si>
    <t>803I</t>
  </si>
  <si>
    <t>Cascadia School</t>
  </si>
  <si>
    <t>Cataldo Catholic School</t>
  </si>
  <si>
    <t>Cedar Park Christian School</t>
  </si>
  <si>
    <t>Cedar Park Christian School - Bothell Campus</t>
  </si>
  <si>
    <t>Cedar Park Christian School - Mill Creek Campus</t>
  </si>
  <si>
    <t>Cedar Park Christian School-Lynnwood</t>
  </si>
  <si>
    <t>Cedar River Montessori School</t>
  </si>
  <si>
    <t>Cedar Tree Classical Christian School</t>
  </si>
  <si>
    <t>Cedar Tree Montessori</t>
  </si>
  <si>
    <t>Cedarbrook Seventh-day Adventist Christian School</t>
  </si>
  <si>
    <t>Centralia Christian School</t>
  </si>
  <si>
    <t>Charles Wright Academy</t>
  </si>
  <si>
    <t>Chesterton Academy of Notre Dame</t>
  </si>
  <si>
    <t>951P</t>
  </si>
  <si>
    <t>Chestnut Hill Academy</t>
  </si>
  <si>
    <t>Children's Garden Montessori School</t>
  </si>
  <si>
    <t>Children's Institute for Learning Differences</t>
  </si>
  <si>
    <t>Choober Doobers Family Home Daycare</t>
  </si>
  <si>
    <t>952P</t>
  </si>
  <si>
    <t>Christ the King  School</t>
  </si>
  <si>
    <t>Christ the King Catholic School</t>
  </si>
  <si>
    <t>Christ the Teacher Catholic School</t>
  </si>
  <si>
    <t>Christian Heritage School</t>
  </si>
  <si>
    <t>Christian Worship Center Academy</t>
  </si>
  <si>
    <t>Chrysalis School</t>
  </si>
  <si>
    <t>Columbia Adventist Academy</t>
  </si>
  <si>
    <t>Colville Valley Junior Academy</t>
  </si>
  <si>
    <t>Community Montessori</t>
  </si>
  <si>
    <t>Concordia Christian Academy</t>
  </si>
  <si>
    <t>Concordia Lutheran School</t>
  </si>
  <si>
    <t>Cornerstone Academy</t>
  </si>
  <si>
    <t>Cornerstone Christian Academy</t>
  </si>
  <si>
    <t>900P</t>
  </si>
  <si>
    <t>Cornerstone Christian Academy for Learning and Leadership</t>
  </si>
  <si>
    <t>Cornerstone Christian School (Lacey)</t>
  </si>
  <si>
    <t>Cornerstone Christian School (Lyden)</t>
  </si>
  <si>
    <t>Countryside Montessori</t>
  </si>
  <si>
    <t>Covenant Christian School</t>
  </si>
  <si>
    <t>Covenant High School</t>
  </si>
  <si>
    <t>Cowlitz School at the Confluence</t>
  </si>
  <si>
    <t>803J</t>
  </si>
  <si>
    <t>Crestview Christian School</t>
  </si>
  <si>
    <t>Crosspoint Academy</t>
  </si>
  <si>
    <t>Cypress Adventist School</t>
  </si>
  <si>
    <t>Dancing Pines Montessori</t>
  </si>
  <si>
    <t>802L</t>
  </si>
  <si>
    <t>Dartmoor School</t>
  </si>
  <si>
    <t>Deep Creek Hutterian School</t>
  </si>
  <si>
    <t>Derech Emunah Seattle Jewish Girls High School</t>
  </si>
  <si>
    <t>803G</t>
  </si>
  <si>
    <t>DeSales Catholic School</t>
  </si>
  <si>
    <t>Discovery Lab of Ellensburg</t>
  </si>
  <si>
    <t>901P</t>
  </si>
  <si>
    <t>Discovery Montessori</t>
  </si>
  <si>
    <t>Dolan Academy &amp; Learning Center</t>
  </si>
  <si>
    <t>801R</t>
  </si>
  <si>
    <t>Eagle View Christian School</t>
  </si>
  <si>
    <t>800V</t>
  </si>
  <si>
    <t>Eastside Academics School</t>
  </si>
  <si>
    <t>Eastside Academy</t>
  </si>
  <si>
    <t>Eastside Catholic School</t>
  </si>
  <si>
    <t>Eastside Christian School</t>
  </si>
  <si>
    <t>Eastside Community School</t>
  </si>
  <si>
    <t>805V</t>
  </si>
  <si>
    <t>Eastside Preparatory School</t>
  </si>
  <si>
    <t>Eaton Arrowsmith Academy</t>
  </si>
  <si>
    <t>804B</t>
  </si>
  <si>
    <t>Ebenezer Christian School</t>
  </si>
  <si>
    <t>Ellensburg Christian School</t>
  </si>
  <si>
    <t>Emerald Heights Academy</t>
  </si>
  <si>
    <t>Emerson Academy</t>
  </si>
  <si>
    <t>953P</t>
  </si>
  <si>
    <t>Enlightium Academy</t>
  </si>
  <si>
    <t>954P</t>
  </si>
  <si>
    <t>Epiphany School</t>
  </si>
  <si>
    <t>Eton School</t>
  </si>
  <si>
    <t>Everett Christian School</t>
  </si>
  <si>
    <t>Evergreen Academy Elementary School (Bothell)</t>
  </si>
  <si>
    <t>Evergreen Christian Private School</t>
  </si>
  <si>
    <t>803C</t>
  </si>
  <si>
    <t>Evergreen Christian School</t>
  </si>
  <si>
    <t>Evergreen Lutheran High School</t>
  </si>
  <si>
    <t>Explorations Academy</t>
  </si>
  <si>
    <t>Explorer West Middle School</t>
  </si>
  <si>
    <t>Faith Lutheran School</t>
  </si>
  <si>
    <t>Family House Academy</t>
  </si>
  <si>
    <t>Fellowship Christian School</t>
  </si>
  <si>
    <t>806E</t>
  </si>
  <si>
    <t>Fiddlehead Montessori</t>
  </si>
  <si>
    <t>805G</t>
  </si>
  <si>
    <t>Firm Foundation Christian School</t>
  </si>
  <si>
    <t>First Presbyterian Christian School</t>
  </si>
  <si>
    <t>800B</t>
  </si>
  <si>
    <t>Five Acre School</t>
  </si>
  <si>
    <t>Foothills Christian School</t>
  </si>
  <si>
    <t>Forest Park Adventist Christian School</t>
  </si>
  <si>
    <t>Forest Ridge School of the Sacred Heart</t>
  </si>
  <si>
    <t>French American School of Puget School</t>
  </si>
  <si>
    <t>French Immersion School of Washington</t>
  </si>
  <si>
    <t>Fusion Academy</t>
  </si>
  <si>
    <t>805W</t>
  </si>
  <si>
    <t>Genius Academy</t>
  </si>
  <si>
    <t>958P</t>
  </si>
  <si>
    <t>Gersh Academy</t>
  </si>
  <si>
    <t>805X</t>
  </si>
  <si>
    <t>Giddens School</t>
  </si>
  <si>
    <t>Gig Harbor Academy</t>
  </si>
  <si>
    <t>Glendale Lutheran School</t>
  </si>
  <si>
    <t>Global Idea School</t>
  </si>
  <si>
    <t>902P</t>
  </si>
  <si>
    <t>Goldendale Adventist Christian</t>
  </si>
  <si>
    <t>Gonzaga Preparatory School</t>
  </si>
  <si>
    <t>Gospel Outreach School</t>
  </si>
  <si>
    <t>Grace Academy</t>
  </si>
  <si>
    <t>Grace Christian Academy</t>
  </si>
  <si>
    <t>801Z</t>
  </si>
  <si>
    <t>Grace Lutheran School</t>
  </si>
  <si>
    <t>Grays Harbor Adventist Christian School</t>
  </si>
  <si>
    <t>Greater Trinity Academy</t>
  </si>
  <si>
    <t>Green River Montessori School</t>
  </si>
  <si>
    <t>Guardian Angel - St. Boniface</t>
  </si>
  <si>
    <t>Hamlin Robinson School</t>
  </si>
  <si>
    <t>Harbor Christian Schools</t>
  </si>
  <si>
    <t>Harbor Montessori School</t>
  </si>
  <si>
    <t>Harbor School</t>
  </si>
  <si>
    <t>Harrah Community Christian School</t>
  </si>
  <si>
    <t>Hearts Gathered Waterfall School</t>
  </si>
  <si>
    <t>903P</t>
  </si>
  <si>
    <t>Heritage Christian Academy</t>
  </si>
  <si>
    <t>Heritage Christian School</t>
  </si>
  <si>
    <t>Hillside Academy</t>
  </si>
  <si>
    <t>801G</t>
  </si>
  <si>
    <t>Hillside Student Community School</t>
  </si>
  <si>
    <t>Holy Family Bilingual Catholic School</t>
  </si>
  <si>
    <t>Holy Family Parish School</t>
  </si>
  <si>
    <t>Holy Family School (Auburn)</t>
  </si>
  <si>
    <t>Holy Family School (Clarkston)</t>
  </si>
  <si>
    <t>Holy Family School (Lacey)</t>
  </si>
  <si>
    <t>Holy Innocents School of the Northwest</t>
  </si>
  <si>
    <t>Holy Names Academy</t>
  </si>
  <si>
    <t>Holy Rosary Bilingual Academy</t>
  </si>
  <si>
    <t>Holy Rosary School (Edmonds)</t>
  </si>
  <si>
    <t>Holy Rosary School (Seattle)</t>
  </si>
  <si>
    <t>Holy Trinity Lutheran School</t>
  </si>
  <si>
    <t>Hope Academy</t>
  </si>
  <si>
    <t>803M</t>
  </si>
  <si>
    <t>Hope Lutheran Church and School</t>
  </si>
  <si>
    <t>Horizon School</t>
  </si>
  <si>
    <t>Hosanna Christian School</t>
  </si>
  <si>
    <t>Hyla Middle School</t>
  </si>
  <si>
    <t>Imagination School</t>
  </si>
  <si>
    <t>Immaculate Conception &amp; Our Lady of Perpetual Help School</t>
  </si>
  <si>
    <t>Immaculate Conception Regional School</t>
  </si>
  <si>
    <t>International Montessori Academy</t>
  </si>
  <si>
    <t>805J</t>
  </si>
  <si>
    <t>International Montessori Academy - Capitol Hill</t>
  </si>
  <si>
    <t>920P</t>
  </si>
  <si>
    <t>International Montessori Academy - Eastgate</t>
  </si>
  <si>
    <t>919P</t>
  </si>
  <si>
    <t>Island Christian Academy</t>
  </si>
  <si>
    <t>Jefferson Community School</t>
  </si>
  <si>
    <t>Johnson Christian School</t>
  </si>
  <si>
    <t>Journey Christian School</t>
  </si>
  <si>
    <t>803N</t>
  </si>
  <si>
    <t>Journey School Lynnwood</t>
  </si>
  <si>
    <t>804M</t>
  </si>
  <si>
    <t>Joyful Scholars Montessori School</t>
  </si>
  <si>
    <t>804S</t>
  </si>
  <si>
    <t>Joyful Scholars Montessori School - Cashmere</t>
  </si>
  <si>
    <t>Cashmere School District</t>
  </si>
  <si>
    <t>916P</t>
  </si>
  <si>
    <t>K-School</t>
  </si>
  <si>
    <t>805Y</t>
  </si>
  <si>
    <t>KapKa Cooperative School</t>
  </si>
  <si>
    <t>Kennedy Catholic High School</t>
  </si>
  <si>
    <t>King's Schools</t>
  </si>
  <si>
    <t>King's Way Christian Schools</t>
  </si>
  <si>
    <t>Kingspoint Christian School</t>
  </si>
  <si>
    <t>Kirkland Seventh-day Adventist School</t>
  </si>
  <si>
    <t>Kitsap Adventist Christian School</t>
  </si>
  <si>
    <t>La Salle High</t>
  </si>
  <si>
    <t>Lake Washington Girls Middle School</t>
  </si>
  <si>
    <t>Lakeside School (Middle)</t>
  </si>
  <si>
    <t>915P</t>
  </si>
  <si>
    <t>Lakeside School (Upper)</t>
  </si>
  <si>
    <t>Lakewood Lutheran School</t>
  </si>
  <si>
    <t>Laurel Academy</t>
  </si>
  <si>
    <t>801H</t>
  </si>
  <si>
    <t>Leadership Preparatory Academy</t>
  </si>
  <si>
    <t>802S</t>
  </si>
  <si>
    <t>Les Lilas French Bilingual Community School</t>
  </si>
  <si>
    <t>804T</t>
  </si>
  <si>
    <t>Lewis County Adventist School</t>
  </si>
  <si>
    <t>Liberty Christian School</t>
  </si>
  <si>
    <t>Liberty Christian School of the Tri-Cities</t>
  </si>
  <si>
    <t>Life Christian Academy</t>
  </si>
  <si>
    <t>Light of Faith Christian Academy</t>
  </si>
  <si>
    <t>800X</t>
  </si>
  <si>
    <t>Lighthouse Christian School</t>
  </si>
  <si>
    <t>Living Montessori Education Community</t>
  </si>
  <si>
    <t>Lupine Experiential School</t>
  </si>
  <si>
    <t>955P</t>
  </si>
  <si>
    <t>Lynden Christian Schools</t>
  </si>
  <si>
    <t>Madrona School</t>
  </si>
  <si>
    <t>800P</t>
  </si>
  <si>
    <t>Mannahouse Christian Academy</t>
  </si>
  <si>
    <t>956P</t>
  </si>
  <si>
    <t>Marlin Hutterite School</t>
  </si>
  <si>
    <t>Mason County Christian School</t>
  </si>
  <si>
    <t>Matheia School</t>
  </si>
  <si>
    <t>Meadow Glade Adventist School</t>
  </si>
  <si>
    <t>Meadows Montessori School</t>
  </si>
  <si>
    <t>Medina Academy</t>
  </si>
  <si>
    <t>Mission Creek Christian Education Center</t>
  </si>
  <si>
    <t>804D</t>
  </si>
  <si>
    <t>Monroe Christian</t>
  </si>
  <si>
    <t>Monroe Montessori School</t>
  </si>
  <si>
    <t>Montessori Academy at Spring Valley</t>
  </si>
  <si>
    <t>Montessori at Samish Woods</t>
  </si>
  <si>
    <t>800T</t>
  </si>
  <si>
    <t>Montessori Children's House</t>
  </si>
  <si>
    <t>Montessori Country School</t>
  </si>
  <si>
    <t>801K</t>
  </si>
  <si>
    <t>Montessori School of Yakima</t>
  </si>
  <si>
    <t>Montessori Schools of Snohomish County</t>
  </si>
  <si>
    <t>Morningside Academy</t>
  </si>
  <si>
    <t>Moses Lake Christian Academy</t>
  </si>
  <si>
    <t>Mount Vernon Christian School</t>
  </si>
  <si>
    <t>Mountain View Christian</t>
  </si>
  <si>
    <t>Mukilteo Academy</t>
  </si>
  <si>
    <t>New Horizon School</t>
  </si>
  <si>
    <t>New Life Christian School</t>
  </si>
  <si>
    <t>Nile Christian School/Hope Academy</t>
  </si>
  <si>
    <t>North Country Christian School</t>
  </si>
  <si>
    <t>North Seattle French School</t>
  </si>
  <si>
    <t>802W</t>
  </si>
  <si>
    <t>North Wall Schools</t>
  </si>
  <si>
    <t>North Whidbey Kids Academy</t>
  </si>
  <si>
    <t>801I</t>
  </si>
  <si>
    <t>Northern Lights Montessori - Willows Campus</t>
  </si>
  <si>
    <t>803P</t>
  </si>
  <si>
    <t>Northlake Academy</t>
  </si>
  <si>
    <t>804E</t>
  </si>
  <si>
    <t>Northshore Christian Academy</t>
  </si>
  <si>
    <t>Northwest Achieve School</t>
  </si>
  <si>
    <t>802X</t>
  </si>
  <si>
    <t>Northwest Christian Academy</t>
  </si>
  <si>
    <t>Northwest Christian High School</t>
  </si>
  <si>
    <t>Northwest Christian School</t>
  </si>
  <si>
    <t>Northwest Christian Schools</t>
  </si>
  <si>
    <t>Northwest Education Academy</t>
  </si>
  <si>
    <t>805K</t>
  </si>
  <si>
    <t>Northwest Montessori School</t>
  </si>
  <si>
    <t>939P</t>
  </si>
  <si>
    <t>Northwest School for Deaf and Hard-of-Hearing Children</t>
  </si>
  <si>
    <t>Northwest Yeshiva High School</t>
  </si>
  <si>
    <t>NOVA School</t>
  </si>
  <si>
    <t>Nueva Esperanza Leadership Academy</t>
  </si>
  <si>
    <t>804Q</t>
  </si>
  <si>
    <t>O'Dea High School</t>
  </si>
  <si>
    <t>Oak Harbor Christian School</t>
  </si>
  <si>
    <t>Oakridge Ranch-A Montessori Farm School</t>
  </si>
  <si>
    <t>Olympia Christian School</t>
  </si>
  <si>
    <t>Olympia Community School</t>
  </si>
  <si>
    <t>Olympia Waldorf School</t>
  </si>
  <si>
    <t>Olympic Christian School</t>
  </si>
  <si>
    <t>Omak Adventist Christian School</t>
  </si>
  <si>
    <t>OneSchool Global</t>
  </si>
  <si>
    <t>801B</t>
  </si>
  <si>
    <t>Open Window School</t>
  </si>
  <si>
    <t>Orcas Christian School</t>
  </si>
  <si>
    <t>Our Lady of Fatima Parish School</t>
  </si>
  <si>
    <t>Our Lady of Guadalupe Catholic School</t>
  </si>
  <si>
    <t>Our Lady of Lourdes Catholic School</t>
  </si>
  <si>
    <t>Our Lady of the Lake Catholic School</t>
  </si>
  <si>
    <t>Our Lady Star of the Sea Catholic School</t>
  </si>
  <si>
    <t>Overcomer Academy</t>
  </si>
  <si>
    <t>Pacific Christian Academy</t>
  </si>
  <si>
    <t>Pacific Crest School</t>
  </si>
  <si>
    <t>Pacific International School:Prek-3 grade</t>
  </si>
  <si>
    <t>805L</t>
  </si>
  <si>
    <t>Pacific Learning Academy</t>
  </si>
  <si>
    <t>801V</t>
  </si>
  <si>
    <t>Pacific Learning Center NW</t>
  </si>
  <si>
    <t>Palisades Christian Academy</t>
  </si>
  <si>
    <t>Paramount Christian Academy</t>
  </si>
  <si>
    <t>803H</t>
  </si>
  <si>
    <t>Parkland Lutheran School</t>
  </si>
  <si>
    <t>Peace Lutheran School</t>
  </si>
  <si>
    <t>Pioneer School</t>
  </si>
  <si>
    <t>Pope John Paul II High School</t>
  </si>
  <si>
    <t>800Z</t>
  </si>
  <si>
    <t>Poulsbo Adventist School</t>
  </si>
  <si>
    <t>Providence Christian School NW</t>
  </si>
  <si>
    <t>Providence Classical Christian School</t>
  </si>
  <si>
    <t>Puget Sound Adventist Academy</t>
  </si>
  <si>
    <t>Puget Sound Community School</t>
  </si>
  <si>
    <t>Pullman Christian School</t>
  </si>
  <si>
    <t>Queen of Angels Catholic School</t>
  </si>
  <si>
    <t>Quincy Valley School</t>
  </si>
  <si>
    <t>Rainier Christian - Kent View Elementary</t>
  </si>
  <si>
    <t>932P</t>
  </si>
  <si>
    <t>Rainier Christian - Maple Valley Elementary</t>
  </si>
  <si>
    <t>Rainier Christian High School</t>
  </si>
  <si>
    <t>924P</t>
  </si>
  <si>
    <t>Rainier Christian Middle School</t>
  </si>
  <si>
    <t>Renton Christian School</t>
  </si>
  <si>
    <t>Renton Preparatory Christian School</t>
  </si>
  <si>
    <t>804F</t>
  </si>
  <si>
    <t>reSTART Leadership Academy</t>
  </si>
  <si>
    <t>804U</t>
  </si>
  <si>
    <t>Riverday School</t>
  </si>
  <si>
    <t>801W</t>
  </si>
  <si>
    <t>Riverside Christian School</t>
  </si>
  <si>
    <t>Riverwood Community School</t>
  </si>
  <si>
    <t>803Q</t>
  </si>
  <si>
    <t>Rogers Adventist School</t>
  </si>
  <si>
    <t>Roots Community School</t>
  </si>
  <si>
    <t>806B</t>
  </si>
  <si>
    <t>Sacred Heart School</t>
  </si>
  <si>
    <t>Saddle Mountain School</t>
  </si>
  <si>
    <t>Sagebrush Elementary School</t>
  </si>
  <si>
    <t>802Y</t>
  </si>
  <si>
    <t>Saint Cecilia Catholic School</t>
  </si>
  <si>
    <t>Saint George's School</t>
  </si>
  <si>
    <t>Saint Joseph Catholic School</t>
  </si>
  <si>
    <t>Saint Mary School</t>
  </si>
  <si>
    <t>Saint Patrick Catholic School</t>
  </si>
  <si>
    <t>Saint Thomas More Catholic School</t>
  </si>
  <si>
    <t>Salish School of Spokane</t>
  </si>
  <si>
    <t>803U</t>
  </si>
  <si>
    <t>Salish Sea Deaf School</t>
  </si>
  <si>
    <t>804G</t>
  </si>
  <si>
    <t>Salmonberry School</t>
  </si>
  <si>
    <t>Salvation Christian Academy</t>
  </si>
  <si>
    <t>Sarodgini Children's Academy</t>
  </si>
  <si>
    <t>806F</t>
  </si>
  <si>
    <t>Seabury School</t>
  </si>
  <si>
    <t>Seattle Academy of Arts and Sciences</t>
  </si>
  <si>
    <t>Seattle Amistad School</t>
  </si>
  <si>
    <t>802H</t>
  </si>
  <si>
    <t>Seattle Area German American School</t>
  </si>
  <si>
    <t>801A</t>
  </si>
  <si>
    <t>Seattle Christian School</t>
  </si>
  <si>
    <t>Seattle Classical Christian School</t>
  </si>
  <si>
    <t>803R</t>
  </si>
  <si>
    <t>Seattle Country Day School</t>
  </si>
  <si>
    <t>Seattle Girls' School</t>
  </si>
  <si>
    <t>Seattle Hebrew Academy</t>
  </si>
  <si>
    <t>Seattle Jewish Community School</t>
  </si>
  <si>
    <t>Seattle Lutheran High School</t>
  </si>
  <si>
    <t>Seattle Mini Medical School</t>
  </si>
  <si>
    <t>804W</t>
  </si>
  <si>
    <t>Seattle Nativity School</t>
  </si>
  <si>
    <t>802Z</t>
  </si>
  <si>
    <t>Seattle Preparatory School</t>
  </si>
  <si>
    <t>Seattle School for Boys</t>
  </si>
  <si>
    <t>957P</t>
  </si>
  <si>
    <t>Seattle Urban Academy</t>
  </si>
  <si>
    <t>Seattle VocTech School</t>
  </si>
  <si>
    <t>803X</t>
  </si>
  <si>
    <t>Seattle Waldorf School</t>
  </si>
  <si>
    <t>Seton Catholic College Preparatory High School</t>
  </si>
  <si>
    <t>800N</t>
  </si>
  <si>
    <t>Shelton Valley Chritian School</t>
  </si>
  <si>
    <t>Shoreline Christian School</t>
  </si>
  <si>
    <t>Silverwood School</t>
  </si>
  <si>
    <t>Skagit Adventist Academy</t>
  </si>
  <si>
    <t>Skinner Elementary Montessori</t>
  </si>
  <si>
    <t>Sky Valley Adventist School</t>
  </si>
  <si>
    <t>804H</t>
  </si>
  <si>
    <t>Skylar Education Academy</t>
  </si>
  <si>
    <t>805M</t>
  </si>
  <si>
    <t>Slavic Christian Academy</t>
  </si>
  <si>
    <t>801M</t>
  </si>
  <si>
    <t>Sno-King Academy</t>
  </si>
  <si>
    <t>Snoqualmie Springs School</t>
  </si>
  <si>
    <t>Solomon International School</t>
  </si>
  <si>
    <t>Sonshine Christian Elementary School</t>
  </si>
  <si>
    <t>802I</t>
  </si>
  <si>
    <t>Soundview School</t>
  </si>
  <si>
    <t>South Sound Christian Schools (Tacoma Baptist Schools)</t>
  </si>
  <si>
    <t>Southside Christian School</t>
  </si>
  <si>
    <t>Spanish With Sarah</t>
  </si>
  <si>
    <t>801X</t>
  </si>
  <si>
    <t>Spectrum Academy</t>
  </si>
  <si>
    <t>Spokane Christian Academy</t>
  </si>
  <si>
    <t>Spokane Valley Adventist School</t>
  </si>
  <si>
    <t>Spring Academy</t>
  </si>
  <si>
    <t>802N</t>
  </si>
  <si>
    <t>Spring Street International School</t>
  </si>
  <si>
    <t>Spruce Street School</t>
  </si>
  <si>
    <t>St. Aloysius Gonzaga Catholic School</t>
  </si>
  <si>
    <t>St. Alphonsus Parish School</t>
  </si>
  <si>
    <t>St. Anne School</t>
  </si>
  <si>
    <t>St. Anthony Elementary School</t>
  </si>
  <si>
    <t>St. Basil Academy of Classical Studies</t>
  </si>
  <si>
    <t>St. Benedict Catholic School</t>
  </si>
  <si>
    <t>St. Bernadette School</t>
  </si>
  <si>
    <t>St. Brendan's Catholic School</t>
  </si>
  <si>
    <t>St. Catherine of Siena School</t>
  </si>
  <si>
    <t>St. Charles Borromeo Catholic School</t>
  </si>
  <si>
    <t>St. Charles Catholic School</t>
  </si>
  <si>
    <t>St. Frances Cabrini School</t>
  </si>
  <si>
    <t>St. Francis of Assisi School</t>
  </si>
  <si>
    <t>St. Francis Preparatory School</t>
  </si>
  <si>
    <t>804Y</t>
  </si>
  <si>
    <t>St. George Parish School</t>
  </si>
  <si>
    <t>St. John Catholic School</t>
  </si>
  <si>
    <t>St. John of Kronstadt Orthodox Christian School</t>
  </si>
  <si>
    <t>St. John Vianney Catholic School</t>
  </si>
  <si>
    <t>St. Joseph Catholic School</t>
  </si>
  <si>
    <t>St. Joseph Marquette Catholic School</t>
  </si>
  <si>
    <t>St. Joseph Parish School</t>
  </si>
  <si>
    <t>St. Joseph School</t>
  </si>
  <si>
    <t>St. Joseph's Catholic School</t>
  </si>
  <si>
    <t>St. Louise School</t>
  </si>
  <si>
    <t>St. Luke School</t>
  </si>
  <si>
    <t>St. Madeleine Sophie School</t>
  </si>
  <si>
    <t>St. Mark School</t>
  </si>
  <si>
    <t>St. Mary Catholic School</t>
  </si>
  <si>
    <t>St. Mary Magdalen School</t>
  </si>
  <si>
    <t>St. Mary's Academy</t>
  </si>
  <si>
    <t>St. Matthew Lutheran School</t>
  </si>
  <si>
    <t>St. Matthew School</t>
  </si>
  <si>
    <t>St. Michael Catholic School</t>
  </si>
  <si>
    <t>St. Michael Parish School</t>
  </si>
  <si>
    <t>St. Michael's Academy</t>
  </si>
  <si>
    <t>St. Monica Catholic School</t>
  </si>
  <si>
    <t>St. Nicholas Catholic School</t>
  </si>
  <si>
    <t>St. Patrick's Catholic School</t>
  </si>
  <si>
    <t>St. Paul School</t>
  </si>
  <si>
    <t>St. Paul's Lutheran School</t>
  </si>
  <si>
    <t>St. Philomena Catholic School</t>
  </si>
  <si>
    <t>St. Pius X School</t>
  </si>
  <si>
    <t>St. Rose of Lima Catholic School</t>
  </si>
  <si>
    <t>St. Rose School</t>
  </si>
  <si>
    <t>St. Therese Catholic Academy</t>
  </si>
  <si>
    <t>St. Thomas More Parish School</t>
  </si>
  <si>
    <t>St. Thomas School</t>
  </si>
  <si>
    <t>St. Vincent de Paul School</t>
  </si>
  <si>
    <t>Stahlville School</t>
  </si>
  <si>
    <t>Stella Maris Academy</t>
  </si>
  <si>
    <t>801S</t>
  </si>
  <si>
    <t>Stillpoint School</t>
  </si>
  <si>
    <t>Summit Christian Academy</t>
  </si>
  <si>
    <t>Summit Classical Christian School</t>
  </si>
  <si>
    <t>Sunfield Waldorf School</t>
  </si>
  <si>
    <t>801C</t>
  </si>
  <si>
    <t>Sunnyside Christian School</t>
  </si>
  <si>
    <t>Sunrise Beach School</t>
  </si>
  <si>
    <t>Swan School</t>
  </si>
  <si>
    <t>Tacoma Christian Academy</t>
  </si>
  <si>
    <t>Taproot School</t>
  </si>
  <si>
    <t>803D</t>
  </si>
  <si>
    <t>The ArtSci Company</t>
  </si>
  <si>
    <t>906P</t>
  </si>
  <si>
    <t>The Bear Creek School</t>
  </si>
  <si>
    <t>The Bridge School</t>
  </si>
  <si>
    <t>The Bush School</t>
  </si>
  <si>
    <t>The Clearwater School</t>
  </si>
  <si>
    <t>The Cor Deo School</t>
  </si>
  <si>
    <t>The Evergreen School</t>
  </si>
  <si>
    <t>The Franklin Academy</t>
  </si>
  <si>
    <t>942P</t>
  </si>
  <si>
    <t>The Gardner School of Arts and Sciences</t>
  </si>
  <si>
    <t>The Island School</t>
  </si>
  <si>
    <t>The Jewish Day School Of Metropolitan Seattle</t>
  </si>
  <si>
    <t>The Kineo School</t>
  </si>
  <si>
    <t>The Lake and Park School</t>
  </si>
  <si>
    <t>801Y</t>
  </si>
  <si>
    <t>The Little School</t>
  </si>
  <si>
    <t>The Madrone School (The Grady School)</t>
  </si>
  <si>
    <t>805B</t>
  </si>
  <si>
    <t>The Meridian School</t>
  </si>
  <si>
    <t>The Montessori School of Pullman</t>
  </si>
  <si>
    <t>804K</t>
  </si>
  <si>
    <t>The Northwest School</t>
  </si>
  <si>
    <t>The Overlake School</t>
  </si>
  <si>
    <t>The Perkins School</t>
  </si>
  <si>
    <t>The Polytech</t>
  </si>
  <si>
    <t>806C</t>
  </si>
  <si>
    <t>The Privett Academy</t>
  </si>
  <si>
    <t>The River Academy</t>
  </si>
  <si>
    <t>803S</t>
  </si>
  <si>
    <t>The Valley School</t>
  </si>
  <si>
    <t>The Villa Academy</t>
  </si>
  <si>
    <t>Three Rivers Christian School (Elementary and Early Learning Center)</t>
  </si>
  <si>
    <t>Three Rivers Christian School (Middle and High School)</t>
  </si>
  <si>
    <t>Three Tree Montessori</t>
  </si>
  <si>
    <t>Tilden School</t>
  </si>
  <si>
    <t>TLC Montessori</t>
  </si>
  <si>
    <t>Torah Academy of the Pacific Northwest</t>
  </si>
  <si>
    <t>806G</t>
  </si>
  <si>
    <t>Torah Day School of Seattle</t>
  </si>
  <si>
    <t>Tree Hill Learning Center</t>
  </si>
  <si>
    <t>803O</t>
  </si>
  <si>
    <t>Tri-Cities Prep</t>
  </si>
  <si>
    <t>Tri-City Adventist School</t>
  </si>
  <si>
    <t>Trinity Catholic School</t>
  </si>
  <si>
    <t>Trinity Reformed Christian School</t>
  </si>
  <si>
    <t>806D</t>
  </si>
  <si>
    <t>UCiC School and Learning Center</t>
  </si>
  <si>
    <t>University Child Development School</t>
  </si>
  <si>
    <t>University Cooperative School</t>
  </si>
  <si>
    <t>University Prep</t>
  </si>
  <si>
    <t>Upper Columbia Academy</t>
  </si>
  <si>
    <t>Upper Columbia Academy Elementary School</t>
  </si>
  <si>
    <t>Upper Valley Christian School</t>
  </si>
  <si>
    <t>Valley Christian School - Auburn</t>
  </si>
  <si>
    <t>Veritas Classical Christian School</t>
  </si>
  <si>
    <t>803Z</t>
  </si>
  <si>
    <t>Visitation Catholic STEM Academy</t>
  </si>
  <si>
    <t>Walla Walla Valley Academy</t>
  </si>
  <si>
    <t>Warden Hutterian School</t>
  </si>
  <si>
    <t>Washington Preparatory School</t>
  </si>
  <si>
    <t>805Q</t>
  </si>
  <si>
    <t>West Chestnut Academy</t>
  </si>
  <si>
    <t>West Seattle Montessori School</t>
  </si>
  <si>
    <t>West Sound Academy</t>
  </si>
  <si>
    <t>Westside School</t>
  </si>
  <si>
    <t>Whatcom Hills Waldorf School</t>
  </si>
  <si>
    <t>Whidbey Island Waldorf School</t>
  </si>
  <si>
    <t>Whole Earth Montessori School</t>
  </si>
  <si>
    <t>Willows Preparatory School</t>
  </si>
  <si>
    <t>803T</t>
  </si>
  <si>
    <t>Windsong School</t>
  </si>
  <si>
    <t>802J</t>
  </si>
  <si>
    <t>Woodinville Montessori School</t>
  </si>
  <si>
    <t>Yakima Adventist Christian School</t>
  </si>
  <si>
    <t>Yellow Wood Academy</t>
  </si>
  <si>
    <t>Zion Lutheran School</t>
  </si>
  <si>
    <t>Public School District</t>
  </si>
  <si>
    <t>Grade Category</t>
  </si>
  <si>
    <t>Private School Name</t>
  </si>
  <si>
    <t>Public School Name</t>
  </si>
  <si>
    <t>alt_ed_env</t>
  </si>
  <si>
    <t>Institution File</t>
  </si>
  <si>
    <t>Program File</t>
  </si>
  <si>
    <t>PEAB File</t>
  </si>
  <si>
    <t>Demographic File</t>
  </si>
  <si>
    <t>Admissions File</t>
  </si>
  <si>
    <t>Assessment File</t>
  </si>
  <si>
    <t>Clinical File</t>
  </si>
  <si>
    <t>prac_endorse</t>
  </si>
  <si>
    <t>basic_skills_area1
basic_skills_area2
basic_skills_area3</t>
  </si>
  <si>
    <t>entrance_exam1
entrance_exam2
entrance_exam3</t>
  </si>
  <si>
    <t>exam_stat1
exam_stat2
exam_stat3</t>
  </si>
  <si>
    <t>score_exam1
score_exam2
score_exam3</t>
  </si>
  <si>
    <t xml:space="preserve">adv_grp_name
 </t>
  </si>
  <si>
    <t xml:space="preserve">academic_year
 </t>
  </si>
  <si>
    <t xml:space="preserve">description of how degree of competency in basic skill area 3 was determined if not solely based on test performance, and remediation status of candidate
 </t>
  </si>
  <si>
    <t>Standard / Domain and the component area that was reviewed during the meeting</t>
  </si>
  <si>
    <t>This is a category response field to indicate the subject matter of a recommendation made by an advisory board. Choose the most closely matching category to describe the topic of the recommendation.</t>
  </si>
  <si>
    <t>This is a category field to describe the type of program according to categories defined by PESB. Programs that are delivered remotely or through online means are not a special program type. For these programs choose the program type that best describes the content of the program, or contact a staff person at PESB or ERDC for assistance determining which program type to choose.</t>
  </si>
  <si>
    <t>This is a category field to describe the type of candidate an individual is according to categories defined by PESB. Typically this is related to the career role the candidate is preparing for. Note the special case of the alt route candidate.</t>
  </si>
  <si>
    <t xml:space="preserve">This is a category field to describe the type of credential the candidate is pursuing. </t>
  </si>
  <si>
    <t>app_date</t>
  </si>
  <si>
    <t>Candidate self-reported gender.</t>
  </si>
  <si>
    <t>Candidate self-reported race.</t>
  </si>
  <si>
    <t>Candidate self-reported ethnicity – Hispanic use only.</t>
  </si>
  <si>
    <t>This field is for the broad category indicator for the primary asset a program found most appealing about this applicant.</t>
  </si>
  <si>
    <t>This field is for any additional asset categories the program may want to include for this applicant to better describe all the appealing characteristics this applicant brings to the program.</t>
  </si>
  <si>
    <t>This field is for the broad category indicator for the primary deficiency, if any, a program identified about this applicant, or any condition the applicant needs to meet before full acceptance to the program can be granted.</t>
  </si>
  <si>
    <t>This field is for any additional deficiency categories the program may want to include for this applicant to better describe additional drawbacks or weaknesses the applicant presents.</t>
  </si>
  <si>
    <t>This is a categorical field to indicate the decision status of the applicant’s admission to the program.</t>
  </si>
  <si>
    <t>alt_comp_demo_txt1
alt_comp_demo_txt2
alt_comp_demo_txt3</t>
  </si>
  <si>
    <t>This is for the code for the basic skills area this exam was used for in the admissions process.</t>
  </si>
  <si>
    <t>This is the actual score the applicant obtained for the basic skills section reported.</t>
  </si>
  <si>
    <t>This field is for a category code to describe how the program used the basic skills exam results to determine competency in the basic skills area and whether remediation in that area is needed or not.</t>
  </si>
  <si>
    <t>Use this field to indicate the category of reason why the candidate left the program.</t>
  </si>
  <si>
    <t>This field is used to indicate the status of a candidate’s recommendation for a certificate or endorsement. New valid values have been added for 202021 to be more inclusive of all possible conditions.</t>
  </si>
  <si>
    <t>This field is used to indicate whether English is the first language a candidate learned to speak.</t>
  </si>
  <si>
    <t>This is a categorical field to indicate the highest level of a previously completed college award, if any; it is also used to indicate a candidate who is returning from a previous period of enrollment to finish program requirements (e.g., testing)</t>
  </si>
  <si>
    <t>This is the institutional academic term and year the candidate completed all program coursework requirements AND submitted their PGP; use format termYYYY.</t>
  </si>
  <si>
    <t>Institutional academic term and year candidate completed all coursework AND testing requirements; use format termYYYY.</t>
  </si>
  <si>
    <t>Indicator that this candidate is considered by the program to be a completer for the purposes of Title II reporting.</t>
  </si>
  <si>
    <t>This is the value found in the “Test Code” column of the “Appendix for Report Guidance &amp; Data Manual” on the PESB website (link provided in Appendix D of this document) on the tab for the specific assessment you are reporting.</t>
  </si>
  <si>
    <t>This is the date the candidate took the assessment; use mm/dd/yyyy format (include slashes).</t>
  </si>
  <si>
    <t>This is the earned score or condition code on the assessment.</t>
  </si>
  <si>
    <t xml:space="preserve">This is a simple pass / no-pass indicator for the reported assessment. </t>
  </si>
  <si>
    <t>cbc_status</t>
  </si>
  <si>
    <t>alt_content_demo1</t>
  </si>
  <si>
    <t>alt_content_demo1_txt</t>
  </si>
  <si>
    <t>alt_content_demo2</t>
  </si>
  <si>
    <t>alt_content_demo2_txt</t>
  </si>
  <si>
    <t xml:space="preserve">prac_end </t>
  </si>
  <si>
    <t>This is a categorical field with codes to describe the type of clinical practice the candidate was engaged in.</t>
  </si>
  <si>
    <t>This field should reflect the evaluation of the program supervisor of the candidate’s overall performance for the clinical practice.</t>
  </si>
  <si>
    <t>Term system for campus where program courses are delivered.</t>
  </si>
  <si>
    <t xml:space="preserve">This is the actual calendar date that the identified deficiency was cleared; use mm/dd/yyyy format (include slashes).
 </t>
  </si>
  <si>
    <t xml:space="preserve">This field is for text that describes in more detail the primary deficiency of the applicant identified by the program. This is not for the category name for the entry in the deficiency prime field.
 </t>
  </si>
  <si>
    <t xml:space="preserve">OSPI district code of district where majority of clinical practice is performed; if site is not a school building, enter the district code for the district in which the site is located; see definition document for instructions for non-standard placements.
 </t>
  </si>
  <si>
    <t xml:space="preserve">Candidate declared endorsement goal at time of application.
 </t>
  </si>
  <si>
    <t>This is the ACADEMIC term and year candidate was recommended for their endorsement; use format termYYYY.</t>
  </si>
  <si>
    <t xml:space="preserve">This is the endorsement code for the endorsement the candidate was recommended for.
 </t>
  </si>
  <si>
    <t xml:space="preserve">This is the first term of enrollment for a candidate in a particular program. If the candidate was enrolled on the census date of the first term of their program, then they can be counted as having begun the program. Use the institutional academic termYYYY format.
 </t>
  </si>
  <si>
    <t xml:space="preserve">This field is for the entrance exam code that identifies which of the approved entrance exams was presented to satisfy the basic skills testing requirement reported for basic_skills_areaX.
</t>
  </si>
  <si>
    <t xml:space="preserve">This field is to record the last term of attendance for a candidate who leaves the program for reasons other than normal completion. Use the termYYYY format.
The exit fields are also used to indicate timing and reason for when a candidate changes programs, or changes alt route designation. A candidate does not need to leave the institution in order to be considered as “exiting” a program.
</t>
  </si>
  <si>
    <t xml:space="preserve">Number of appointed board members expected to attend.
</t>
  </si>
  <si>
    <t xml:space="preserve">Candidate’s legal first name.
</t>
  </si>
  <si>
    <t xml:space="preserve">This field is to indicate whether a candidate is a first generation college degree seeker at the time of first admission; a candidate is considered first generation if the parent(s) the candidate lives (lived) with the majority of the time has (had) not attained a Bachelor's degree (while the candidate lived with them). REPORTED AS OF TIME OF ADMISSION.
</t>
  </si>
  <si>
    <t xml:space="preserve">Institution code – this is the same as your CEEB code.
</t>
  </si>
  <si>
    <t xml:space="preserve">This field indicates the institutional academic year for which the term information is being reported. EXAMPLE: 201415
</t>
  </si>
  <si>
    <t xml:space="preserve">Candidate’s legal last name.
</t>
  </si>
  <si>
    <t xml:space="preserve">Washington state certificate number of lead mentor teacher overseeing candidate clinical practice, unless practice is based outside of Washington State.
</t>
  </si>
  <si>
    <t xml:space="preserve">This is the mentor teacher’s work email address.
</t>
  </si>
  <si>
    <t xml:space="preserve">Candidate’s middle name, if any.
</t>
  </si>
  <si>
    <t xml:space="preserve">Date of PEAB meeting; use mm/dd/yyyy format (including slashes).
</t>
  </si>
  <si>
    <t xml:space="preserve">Indicator field for whether the data reviewed by the advisory board was data that had been analyzed by PESB staff and provided to the program staff (as opposed to data that was analyzed by the program staff themselves and then provided to the PEAB).
</t>
  </si>
  <si>
    <t xml:space="preserve">Advisory boards are asked to rate on a scale of 1-5 their level of satisfaction with the data that was presented during their meeting. This field is where you record the AVERAGE of all the advisory board members’ scale ratings for the data they reviewed that was a result of analyses done by PESB and provided to program staff, and then passed on to them for their review.
</t>
  </si>
  <si>
    <t xml:space="preserve">Date the clinical practice ended; use mm/dd/yyyy format (including slashes).
</t>
  </si>
  <si>
    <t xml:space="preserve">This field is to indicate which endorsement the clinical practice is designed for. Multiple endorsements may be put in this field by using a slash to separate them. Use format XXXX/XXXX/XXXX.
</t>
  </si>
  <si>
    <t xml:space="preserve">The total number of hours of clinical practice completed by the candidate during the reporting year.
 </t>
  </si>
  <si>
    <t xml:space="preserve">This field is ONLY for candidates in a school counselor program. Use this field to indicate the number of hours of clinical practice COMPLETED for the INDIRECT CONTACT portion of the clinical practice.
</t>
  </si>
  <si>
    <t xml:space="preserve">This is the institution assigned descriptive name for the candidate’s clinical practice.
</t>
  </si>
  <si>
    <t xml:space="preserve">Date the clinical practice started; use mm/dd/yyyy format (including slashes).
</t>
  </si>
  <si>
    <t xml:space="preserve">Summary of what response was made to a recommendation from the advisory board as documented in the previous year’s PEAB data collection.
 </t>
  </si>
  <si>
    <t xml:space="preserve">This is the name the institution has given the specific program being reported.
</t>
  </si>
  <si>
    <t xml:space="preserve">This is the number of credits required to earn the highest program award.
</t>
  </si>
  <si>
    <t xml:space="preserve">Within fields of study there can be different areas of focus. For example, within education there can be a focus on areas that are reflected by a particular endorsement, like for music. This field is where you can record what might be a particular area of focus within a program, if there is any at all.
</t>
  </si>
  <si>
    <t xml:space="preserve">Enter the six-digit CIP code that most closely reflects the area of concentration entered in the prog_conc field for the program.
</t>
  </si>
  <si>
    <t xml:space="preserve">Indicator field for whether the data reviewed by the advisory board was data that had been compiled and analyzed by PROGRAM staff (as opposed to data that was analyzed by PESB and then provided to the program).
</t>
  </si>
  <si>
    <t xml:space="preserve">This field is for an institution defined description of the career field the program is designed to prepare candidates for.
</t>
  </si>
  <si>
    <t xml:space="preserve">Enter the six-digit CIP code that most closely reflects the career field the program is designed to prepare candidates for.
</t>
  </si>
  <si>
    <t xml:space="preserve">This is for the institution defined, unique program identifier. Each program or unique pathway an institution offers for candidates should be given its own identification number. 
</t>
  </si>
  <si>
    <t xml:space="preserve">This is the maximum number of months estimated by the program that are needed for a candidate to complete the program and still be considered an on-time completer, based on full-time enrollment and an average number of credits per term. By setting a minimum and maximum expectation, the program has the flexibility to account for normal variations in candidate participation, based on the program’s history and experience with candidates.
</t>
  </si>
  <si>
    <t xml:space="preserve">The minimum number of months of regular full-time enrollment expected to complete the program.
</t>
  </si>
  <si>
    <t xml:space="preserve">A program may run a different type of term schedule than its parent institution. This field is to indicate the term structure of the specific program being reported.
</t>
  </si>
  <si>
    <t xml:space="preserve">Summary text of recommendation made, if any.
</t>
  </si>
  <si>
    <t xml:space="preserve">Each of the 18 rubrics that make up a full edTPA assessment are named “SCORE X” where X = the number of the rubric. This field is to enter the name “SCORE” and the number of the rubric being reported. 
</t>
  </si>
  <si>
    <t xml:space="preserve">This is the full 9-digit social security number for the candidate.
</t>
  </si>
  <si>
    <t xml:space="preserve">This is the candidate’s regularly assigned student identification number, as referenced in RCW 42.56.290(10)(F). This number is needed to facilitate the matching algorithm for cross-system data matching, as well as within-institution record matching for extended studies.
</t>
  </si>
  <si>
    <t xml:space="preserve">If you are a summer lead school, summer term is considered the beginning of the academic year (lead), as opposed to the end of the year (lag). 
</t>
  </si>
  <si>
    <t xml:space="preserve">This is the total number of terms the candidate has been enrolled for credits in the program_id and attended past census day, beginning with the term of first enrollment through the end of the current reporting year.
</t>
  </si>
  <si>
    <t xml:space="preserve">If an applicant is placed on a waiting list, enter here the date their name was put on that list; use mm/dd/yyyy format (include slashes).
</t>
  </si>
  <si>
    <t xml:space="preserve">PESB reporting year for information being reported; EXAMPLE: 201415
</t>
  </si>
  <si>
    <t>1 = yes, summer is leading                                   0 = no, summer is lag</t>
  </si>
  <si>
    <t>See PESB Assessment code file</t>
  </si>
  <si>
    <t xml:space="preserve">This is a text description of 1) how the applicant’s degree of competency in basic skill area 1 was determined if not determined solely based on test performance, or 2) whether remediation is needed and any other pertinent details.
 </t>
  </si>
  <si>
    <t>Institutional academic year for the data being reported.</t>
  </si>
  <si>
    <t xml:space="preserve">This is the name that the advisory group is called by the Institution. It can be whatever the institution determines it should be.
 </t>
  </si>
  <si>
    <t xml:space="preserve">This field is for a short category description of the first piece of evidence submitted by the candidate.
</t>
  </si>
  <si>
    <t xml:space="preserve">This is a text field to describe in more detail what evidence was submitted for the first piece of evidence.
 </t>
  </si>
  <si>
    <t xml:space="preserve">This field is for a short category description of the second piece of evidence submitted by the candidate.
 </t>
  </si>
  <si>
    <t xml:space="preserve">This is a text field to describe in more detail what evidence was submitted for the second piece of evidence.
 </t>
  </si>
  <si>
    <t xml:space="preserve">This field is to indicate what type of setting the practice environment is when it is not in a traditional public or private school.
 </t>
  </si>
  <si>
    <t xml:space="preserve">The date the candidate submitted an application for entry to the program. Use mm/dd/yyyy format (including slashes).
</t>
  </si>
  <si>
    <t xml:space="preserve">This is the value found in the “Assessment Code” column of the “Appendix for Report Guidance &amp; Data Manual” on the PESB website (link provided in Appendix D of this document) on the tab for the specific assessment you are reporting.
</t>
  </si>
  <si>
    <t xml:space="preserve">This is the name found in the “Assessment Name” column of the “Appendix for Report Guidance &amp; Data Manual” on the PESB website (link provided in Appendix D of this document) on the tab for the specific assessment you are reporting.
</t>
  </si>
  <si>
    <t xml:space="preserve">This field is for text that describes in more detail the additional assets the program found appealing about this applicant. This is not for the category name for the entry in the asset_aux field.
 </t>
  </si>
  <si>
    <t xml:space="preserve">This field is for text that describes in more detail the primary asset the program found most appealing about this applicant. This is not for the category name for the entry in the asset prime field. 
 </t>
  </si>
  <si>
    <t xml:space="preserve">This is the actual number of advisory board members attending the meeting.
 </t>
  </si>
  <si>
    <t xml:space="preserve">Candidate date of birth; use mm/dd/yyyy format (include slashes).
 </t>
  </si>
  <si>
    <t xml:space="preserve">OSPI building code for school building where majority of clinical practice is performed. Private school codes have been added to the list of building codes.
 </t>
  </si>
  <si>
    <t xml:space="preserve">Date for term and campus being reported when census is taken; use mm/dd/yyyy format.
 </t>
  </si>
  <si>
    <t xml:space="preserve">Last day of term for term and campus being reported; use mm/dd/yyyy format.
 </t>
  </si>
  <si>
    <t xml:space="preserve">First day of attendance for term and campus being reported; use mm/dd/yyyy format.
 </t>
  </si>
  <si>
    <t xml:space="preserve">This is a category field to indicate the status of a candidate’s eligibility for a case-by-case exception to a passing score on any assessment in test codes 20, 50, or 80.
 </t>
  </si>
  <si>
    <t xml:space="preserve">This field is used to indicate whether a program is in compliance with administrative and other PESB rules with regards to the composition and operation of the PEAB group whose activity is being reported on. Are all positions on the board filled? 
 </t>
  </si>
  <si>
    <t xml:space="preserve">This field is used to report the specific component (designated by a Roman numeral) of a Standard component area that was discussed during the reported PEAB meeting.
 </t>
  </si>
  <si>
    <t xml:space="preserve">Campus where courses of a program are delivered for which dates are being reported.
 </t>
  </si>
  <si>
    <t xml:space="preserve">This is the endorsement code for the endorsement the candidate was engaged in program activities to attain as of the end of the current PESB reporting period OR that was attached to the program they exited if they change programs during the year.
 </t>
  </si>
  <si>
    <t xml:space="preserve">This field is for text that describes in more detail the additional drawbacks or weakness the program identified about this applicant. This is not for the category name for the entry in the deficiency_aux field.
 </t>
  </si>
  <si>
    <t xml:space="preserve">Indicator of the enrollment status of the candidate relevant to the program associated with the assessment, as of the end of the reporting year. 
Note that completion (Title II defined) takes precedence over clinical status, which in turn takes precedence over other enrolled status.
 </t>
  </si>
  <si>
    <t xml:space="preserve">This field indicates what the highest available award for the reported program is. Even if there are options that involve additional credits to earn, and some candidates do not earn the higher option, if it is considered all one program, enter only the highest award that can be earned.
 </t>
  </si>
  <si>
    <t xml:space="preserve">Advisory boards are asked to rate on a scale of 1-5 their level of satisfaction with the data that was presented during their meeting. This field is where you record the AVERAGE of all the advisory board members’ scale ratings for the quality and appropriateness of the data that came to them from analyses done by the PROGRAM staff.
 </t>
  </si>
  <si>
    <t xml:space="preserve">race_code_HISP
race_code_HISP2
race_code_HISP3
 </t>
  </si>
  <si>
    <t xml:space="preserve">race_code1
race_code2
race_code3
race_code4
race_code5
 </t>
  </si>
  <si>
    <t>10 = candidate has been recommended for OSPI certification
20 = candidate has completed coursework and can be recommended as soon as testing requirements are completed (does not apply to COVID related deferred testing) 
30 = candidate is working towards placement in a private institution that does not require WA certification 
40 = candidate does not need program completion for recommendation (e.g., test only, add-on) 
50 = coursework and testing is completed, and a recommendation is pending 
0 = candidate has not been recommended for certification at this time</t>
  </si>
  <si>
    <t xml:space="preserve">If no standard was reviewed (see Tab F), use 
99 = meetng for other purpose
OR
add "ALL" to stand_rev for entire component of standard
 </t>
  </si>
  <si>
    <t>If endorsement choice is delayed until later in the program, use "TBD" until endorsement is chosen.</t>
  </si>
  <si>
    <t>0 = candidate offered cbc option, did not submit evidence
10 = evidence submitted was NOT approved
20 = evidence submitted was approved
30 = review of submitted evidence is pending</t>
  </si>
  <si>
    <t>10 = ECE setting
20 = ECE setting due to COVID circumstances
30 = alternative education setting
0 = not an alt ed setting</t>
  </si>
  <si>
    <t>SEQ #</t>
  </si>
  <si>
    <t>10 = coursework
20 = other</t>
  </si>
  <si>
    <t>This is the ACADEMIC term and year candidate was recommended for their endorsement or certification; use format termYYYY.</t>
  </si>
  <si>
    <t>10 = completer                                20 =  clinical                             30 = enrolled other                                   40 = returning or not enrolled</t>
  </si>
  <si>
    <t>10 = Post-secondary certificate of any length                                      20 = Associate's Degree                                                    30 = Undergraduate Degree                                      40 = Master's Degree                                 50 = Doctoral / Professional Degree                                       60 = Re-admit or returning with test or for recommendation                                        0 = None</t>
  </si>
  <si>
    <t>10 = Post-secondary certificate of any length                                      20 = Associate's Degree                                                    30 = Undergraduate Degree                                                   40 = Master's Degree                                 50 = Doctoral / Professional Degree                                       60 = Re-admit or returning with test or for recommendation                                        0 = 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</si>
</sst>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i/>
      <sz val="11"/>
      <color theme="1"/>
      <name val="Calibri"/>
      <family val="2"/>
      <scheme val="minor"/>
    </font>
    <font>
      <b/>
      <i/>
      <sz val="12"/>
      <color theme="1"/>
      <name val="Calibri"/>
      <family val="2"/>
      <scheme val="minor"/>
    </font>
    <font>
      <u/>
      <sz val="11"/>
      <color theme="10"/>
      <name val="Calibri"/>
      <family val="2"/>
      <scheme val="minor"/>
    </font>
    <font>
      <sz val="11"/>
      <name val="Calibri"/>
      <family val="2"/>
      <scheme val="minor"/>
    </font>
    <font>
      <sz val="11"/>
      <color rgb="FF333333"/>
      <name val="Calibri"/>
      <family val="2"/>
      <scheme val="minor"/>
    </font>
    <font>
      <sz val="11"/>
      <name val="Arial"/>
      <family val="2"/>
    </font>
    <font>
      <sz val="11"/>
      <color rgb="FF333333"/>
      <name val="Arial"/>
      <family val="2"/>
    </font>
    <font>
      <sz val="11"/>
      <name val="Calibri"/>
      <family val="2"/>
    </font>
    <font>
      <sz val="11"/>
      <color theme="0" tint="-4.9989318521683403E-2"/>
      <name val="Calibri"/>
      <family val="2"/>
      <scheme val="minor"/>
    </font>
    <font>
      <sz val="11"/>
      <color rgb="FF000000"/>
      <name val="Calibri"/>
      <family val="2"/>
      <scheme val="minor"/>
    </font>
    <font>
      <b/>
      <sz val="14"/>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249977111117893"/>
        <bgColor indexed="64"/>
      </patternFill>
    </fill>
  </fills>
  <borders count="5">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style="medium">
        <color rgb="FF000000"/>
      </left>
      <right style="medium">
        <color rgb="FF000000"/>
      </right>
      <top style="medium">
        <color rgb="FF000000"/>
      </top>
      <bottom style="medium">
        <color rgb="FF000000"/>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17">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vertical="center"/>
    </xf>
    <xf numFmtId="0" fontId="0" fillId="0" borderId="0" xfId="0" applyAlignment="1">
      <alignment wrapText="1"/>
    </xf>
    <xf numFmtId="0" fontId="1" fillId="0" borderId="0" xfId="0" applyFont="1" applyAlignment="1">
      <alignment horizontal="center" vertical="center" wrapText="1"/>
    </xf>
    <xf numFmtId="0" fontId="0" fillId="0" borderId="0" xfId="0" applyAlignment="1">
      <alignment horizontal="right"/>
    </xf>
    <xf numFmtId="0" fontId="0" fillId="0" borderId="0" xfId="0" applyFill="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xf>
    <xf numFmtId="0" fontId="0" fillId="2" borderId="0" xfId="0" applyFill="1"/>
    <xf numFmtId="0" fontId="0" fillId="2" borderId="0" xfId="0" applyFill="1" applyAlignment="1">
      <alignment horizontal="right"/>
    </xf>
    <xf numFmtId="0" fontId="0" fillId="0" borderId="0" xfId="0" applyAlignment="1">
      <alignment horizontal="left" vertical="center" wrapText="1"/>
    </xf>
    <xf numFmtId="0" fontId="0" fillId="0" borderId="0" xfId="0" applyAlignment="1"/>
    <xf numFmtId="0" fontId="0" fillId="0" borderId="0" xfId="0" applyAlignment="1">
      <alignment horizontal="left"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5" borderId="1" xfId="0" applyFill="1" applyBorder="1" applyAlignment="1">
      <alignment wrapText="1"/>
    </xf>
    <xf numFmtId="0" fontId="0" fillId="4" borderId="1" xfId="0" applyFill="1" applyBorder="1" applyAlignment="1">
      <alignment horizontal="center" vertical="center" wrapText="1"/>
    </xf>
    <xf numFmtId="0" fontId="0" fillId="4" borderId="1" xfId="0" applyFill="1" applyBorder="1" applyAlignment="1">
      <alignment wrapText="1"/>
    </xf>
    <xf numFmtId="0" fontId="0" fillId="6" borderId="1" xfId="0" applyFill="1" applyBorder="1" applyAlignment="1">
      <alignment wrapText="1"/>
    </xf>
    <xf numFmtId="0" fontId="0" fillId="6"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6" fillId="0" borderId="1" xfId="0" applyFont="1" applyBorder="1" applyAlignment="1">
      <alignment horizontal="left" vertical="center" wrapText="1"/>
    </xf>
    <xf numFmtId="0" fontId="0" fillId="0" borderId="1" xfId="0" applyBorder="1" applyAlignment="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wrapText="1"/>
    </xf>
    <xf numFmtId="0" fontId="5" fillId="4" borderId="1" xfId="0" applyFont="1" applyFill="1" applyBorder="1" applyAlignment="1">
      <alignment horizontal="center" vertical="center" wrapText="1"/>
    </xf>
    <xf numFmtId="0" fontId="5" fillId="4" borderId="1" xfId="0" applyFont="1" applyFill="1" applyBorder="1" applyAlignment="1">
      <alignment wrapText="1"/>
    </xf>
    <xf numFmtId="0" fontId="5" fillId="6" borderId="1" xfId="0" applyFont="1" applyFill="1" applyBorder="1" applyAlignment="1">
      <alignment horizontal="center" vertical="center"/>
    </xf>
    <xf numFmtId="0" fontId="5" fillId="6" borderId="1" xfId="0" applyFont="1" applyFill="1" applyBorder="1" applyAlignment="1">
      <alignment wrapText="1"/>
    </xf>
    <xf numFmtId="0" fontId="5" fillId="6"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wrapText="1"/>
    </xf>
    <xf numFmtId="0" fontId="5" fillId="0" borderId="0" xfId="0" applyFont="1" applyBorder="1" applyAlignment="1">
      <alignment horizontal="center" vertical="center" wrapText="1"/>
    </xf>
    <xf numFmtId="0" fontId="5" fillId="6" borderId="0" xfId="0" applyFont="1" applyFill="1" applyBorder="1" applyAlignment="1">
      <alignment horizontal="center" vertical="center" wrapText="1"/>
    </xf>
    <xf numFmtId="0" fontId="5" fillId="6" borderId="2" xfId="0" applyFont="1" applyFill="1" applyBorder="1" applyAlignment="1">
      <alignment wrapText="1"/>
    </xf>
    <xf numFmtId="0" fontId="5" fillId="0" borderId="2" xfId="0" applyFont="1" applyBorder="1" applyAlignment="1">
      <alignment horizontal="left" vertical="center" wrapText="1"/>
    </xf>
    <xf numFmtId="0" fontId="5" fillId="7" borderId="0" xfId="0" applyFont="1" applyFill="1" applyBorder="1" applyAlignment="1">
      <alignment horizontal="center" vertical="center"/>
    </xf>
    <xf numFmtId="0" fontId="5" fillId="7" borderId="0" xfId="0" applyFont="1" applyFill="1" applyBorder="1" applyAlignment="1">
      <alignment wrapText="1"/>
    </xf>
    <xf numFmtId="0" fontId="5" fillId="7" borderId="0" xfId="0" applyFont="1" applyFill="1" applyBorder="1" applyAlignment="1">
      <alignment horizontal="center" vertical="center" wrapText="1"/>
    </xf>
    <xf numFmtId="0" fontId="5" fillId="7" borderId="2" xfId="0" applyFont="1" applyFill="1" applyBorder="1" applyAlignment="1">
      <alignment wrapText="1"/>
    </xf>
    <xf numFmtId="0" fontId="5" fillId="7" borderId="2" xfId="0" applyFont="1" applyFill="1" applyBorder="1" applyAlignment="1">
      <alignment horizontal="left" vertical="center" wrapText="1"/>
    </xf>
    <xf numFmtId="0" fontId="0" fillId="7" borderId="0" xfId="0" applyFill="1" applyAlignment="1">
      <alignment horizontal="center" vertical="center"/>
    </xf>
    <xf numFmtId="0" fontId="0" fillId="7" borderId="0" xfId="0" applyFill="1" applyAlignment="1">
      <alignment wrapText="1"/>
    </xf>
    <xf numFmtId="0" fontId="0" fillId="7" borderId="0" xfId="0" applyFill="1" applyAlignment="1">
      <alignment horizontal="left" wrapText="1"/>
    </xf>
    <xf numFmtId="0" fontId="0" fillId="6" borderId="1" xfId="0" applyFont="1" applyFill="1" applyBorder="1" applyAlignment="1">
      <alignment wrapText="1"/>
    </xf>
    <xf numFmtId="0" fontId="0" fillId="0" borderId="1" xfId="0" applyBorder="1" applyAlignment="1"/>
    <xf numFmtId="0" fontId="8" fillId="0" borderId="1" xfId="0" applyFont="1" applyBorder="1" applyAlignment="1">
      <alignment horizontal="left" vertical="center" wrapText="1"/>
    </xf>
    <xf numFmtId="0" fontId="0" fillId="0" borderId="0" xfId="0" applyAlignment="1">
      <alignment horizontal="left" vertical="center"/>
    </xf>
    <xf numFmtId="0" fontId="7" fillId="0" borderId="0" xfId="0" applyFont="1" applyAlignment="1">
      <alignment vertical="center"/>
    </xf>
    <xf numFmtId="0" fontId="0" fillId="5"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0" fillId="6" borderId="1" xfId="0" applyFont="1" applyFill="1" applyBorder="1" applyAlignment="1">
      <alignment horizontal="center" vertical="center" wrapText="1"/>
    </xf>
    <xf numFmtId="0" fontId="0" fillId="6"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7" borderId="0" xfId="0" applyFont="1" applyFill="1" applyAlignment="1">
      <alignment horizontal="center" vertical="center"/>
    </xf>
    <xf numFmtId="0" fontId="0" fillId="7" borderId="0" xfId="0" applyFont="1" applyFill="1" applyAlignment="1">
      <alignment wrapText="1"/>
    </xf>
    <xf numFmtId="0" fontId="0" fillId="7" borderId="0" xfId="0" applyFont="1" applyFill="1" applyAlignment="1">
      <alignment horizontal="left" wrapText="1"/>
    </xf>
    <xf numFmtId="0" fontId="0" fillId="5" borderId="1" xfId="0" applyFont="1" applyFill="1" applyBorder="1" applyAlignment="1">
      <alignment horizontal="center" vertical="center"/>
    </xf>
    <xf numFmtId="0" fontId="0" fillId="5" borderId="1" xfId="0" applyFont="1" applyFill="1" applyBorder="1" applyAlignment="1">
      <alignment wrapText="1"/>
    </xf>
    <xf numFmtId="0" fontId="0" fillId="4" borderId="1" xfId="0" applyFont="1" applyFill="1" applyBorder="1" applyAlignment="1">
      <alignment wrapText="1"/>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5" borderId="0" xfId="0" applyFill="1"/>
    <xf numFmtId="0" fontId="0" fillId="3" borderId="0" xfId="0" applyFill="1"/>
    <xf numFmtId="0" fontId="0" fillId="3" borderId="0" xfId="0" applyFill="1" applyAlignment="1">
      <alignment horizontal="center" vertical="center"/>
    </xf>
    <xf numFmtId="3" fontId="0" fillId="3" borderId="0" xfId="0" applyNumberFormat="1" applyFill="1" applyAlignment="1">
      <alignment horizontal="center" vertical="center"/>
    </xf>
    <xf numFmtId="3" fontId="0" fillId="3" borderId="0" xfId="0" applyNumberFormat="1" applyFill="1" applyAlignment="1">
      <alignment horizontal="center" vertical="center" wrapText="1"/>
    </xf>
    <xf numFmtId="3" fontId="0" fillId="3" borderId="0" xfId="0" applyNumberFormat="1" applyFill="1" applyBorder="1" applyAlignment="1">
      <alignment horizontal="center" vertical="center" wrapText="1"/>
    </xf>
    <xf numFmtId="3" fontId="10" fillId="3" borderId="0" xfId="0" applyNumberFormat="1" applyFont="1" applyFill="1" applyAlignment="1">
      <alignment horizontal="center" vertical="center"/>
    </xf>
    <xf numFmtId="3" fontId="10" fillId="3" borderId="0" xfId="0" applyNumberFormat="1" applyFont="1" applyFill="1" applyBorder="1" applyAlignment="1">
      <alignment horizontal="center" vertical="center" wrapText="1"/>
    </xf>
    <xf numFmtId="0" fontId="5" fillId="7" borderId="0" xfId="0" applyFont="1" applyFill="1" applyAlignment="1">
      <alignment horizontal="center" vertical="center"/>
    </xf>
    <xf numFmtId="0" fontId="5" fillId="7" borderId="0" xfId="0" applyFont="1" applyFill="1" applyAlignment="1">
      <alignment wrapText="1"/>
    </xf>
    <xf numFmtId="0" fontId="5" fillId="7" borderId="0" xfId="0" applyFont="1" applyFill="1" applyAlignment="1">
      <alignment horizontal="left" wrapText="1"/>
    </xf>
    <xf numFmtId="0" fontId="9" fillId="0" borderId="3" xfId="0" applyFont="1" applyBorder="1" applyAlignment="1">
      <alignment vertical="center" wrapText="1"/>
    </xf>
    <xf numFmtId="0" fontId="5" fillId="0" borderId="0" xfId="0" applyFont="1" applyAlignment="1">
      <alignment horizontal="left" vertical="center" wrapText="1"/>
    </xf>
    <xf numFmtId="0" fontId="11" fillId="0" borderId="0" xfId="0" applyFont="1" applyAlignment="1">
      <alignment horizontal="left" vertical="center" wrapText="1"/>
    </xf>
    <xf numFmtId="0" fontId="5" fillId="0" borderId="0" xfId="0" applyFont="1" applyFill="1" applyAlignment="1">
      <alignment horizontal="left" vertical="center" wrapText="1"/>
    </xf>
    <xf numFmtId="0" fontId="4" fillId="0" borderId="0" xfId="1" applyAlignment="1">
      <alignment horizontal="left" vertical="center"/>
    </xf>
    <xf numFmtId="0" fontId="0" fillId="0" borderId="0" xfId="0" applyFill="1"/>
    <xf numFmtId="0" fontId="0" fillId="4" borderId="0" xfId="0" applyFill="1"/>
    <xf numFmtId="0" fontId="0" fillId="0" borderId="0" xfId="0" applyFont="1" applyAlignment="1">
      <alignment horizontal="left" vertical="center"/>
    </xf>
    <xf numFmtId="0" fontId="0" fillId="0" borderId="4" xfId="0" applyBorder="1" applyAlignment="1">
      <alignment horizontal="center" vertical="center"/>
    </xf>
    <xf numFmtId="0" fontId="0" fillId="0" borderId="0" xfId="0" applyFill="1" applyAlignment="1">
      <alignment horizontal="right"/>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0" borderId="0" xfId="0" applyFont="1" applyBorder="1" applyAlignment="1">
      <alignment horizontal="left" vertical="center" wrapText="1"/>
    </xf>
    <xf numFmtId="49" fontId="0" fillId="0" borderId="0" xfId="0" applyNumberFormat="1"/>
    <xf numFmtId="49" fontId="1" fillId="0" borderId="0" xfId="0" applyNumberFormat="1" applyFont="1" applyAlignment="1">
      <alignment horizontal="center" vertical="center" wrapText="1"/>
    </xf>
    <xf numFmtId="0" fontId="0" fillId="0" borderId="0" xfId="0" applyFill="1" applyAlignment="1">
      <alignment horizontal="center" vertical="center" wrapText="1"/>
    </xf>
    <xf numFmtId="0" fontId="0" fillId="0" borderId="0" xfId="0" applyAlignment="1">
      <alignment vertical="top" wrapText="1"/>
    </xf>
    <xf numFmtId="0" fontId="0" fillId="0" borderId="0" xfId="0" applyFill="1" applyAlignment="1">
      <alignment vertical="top" wrapText="1"/>
    </xf>
    <xf numFmtId="0" fontId="0" fillId="0" borderId="0" xfId="0" applyBorder="1" applyAlignment="1">
      <alignment vertical="top" wrapText="1"/>
    </xf>
    <xf numFmtId="0" fontId="0" fillId="0" borderId="0" xfId="0" applyFill="1" applyBorder="1" applyAlignment="1">
      <alignment horizontal="left" vertical="top" wrapText="1"/>
    </xf>
    <xf numFmtId="0" fontId="0" fillId="0" borderId="0" xfId="0" applyFill="1" applyAlignment="1">
      <alignment horizontal="left" vertical="top" wrapText="1"/>
    </xf>
    <xf numFmtId="0" fontId="0" fillId="0" borderId="0" xfId="0" applyBorder="1" applyAlignment="1">
      <alignment horizontal="center" vertical="center" wrapText="1"/>
    </xf>
    <xf numFmtId="0" fontId="13" fillId="0" borderId="0" xfId="0" applyFont="1" applyAlignment="1">
      <alignment vertical="top" wrapText="1"/>
    </xf>
    <xf numFmtId="0" fontId="3" fillId="0" borderId="0" xfId="0" applyFont="1" applyAlignment="1">
      <alignment horizontal="center" vertical="center"/>
    </xf>
    <xf numFmtId="0" fontId="5" fillId="4" borderId="1" xfId="0" applyFont="1" applyFill="1" applyBorder="1" applyAlignment="1">
      <alignment vertical="center" wrapText="1"/>
    </xf>
    <xf numFmtId="0" fontId="5" fillId="5"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0" fillId="5" borderId="1" xfId="0" applyFill="1" applyBorder="1" applyAlignment="1">
      <alignment horizontal="left" vertical="center" wrapText="1"/>
    </xf>
    <xf numFmtId="0" fontId="0" fillId="5" borderId="1" xfId="0" applyFont="1" applyFill="1" applyBorder="1" applyAlignment="1">
      <alignment horizontal="left" vertical="center" wrapText="1"/>
    </xf>
    <xf numFmtId="0" fontId="7" fillId="4" borderId="1"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D5F8"/>
      <color rgb="FFEBD5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s.google.com/spreadsheets/d/1y6jNmsGK7RIoSjDqltk3_sj_K3JAuEXvQ2v88sryFSI/ed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zoomScale="70" zoomScaleNormal="70" workbookViewId="0">
      <pane ySplit="1" topLeftCell="A40" activePane="bottomLeft" state="frozen"/>
      <selection pane="bottomLeft" activeCell="H41" sqref="H41"/>
    </sheetView>
  </sheetViews>
  <sheetFormatPr defaultRowHeight="15" x14ac:dyDescent="0.25"/>
  <cols>
    <col min="1" max="1" width="8.28515625" style="98" customWidth="1"/>
    <col min="2" max="2" width="29.28515625" style="103" customWidth="1"/>
    <col min="3" max="3" width="15.140625" style="98" customWidth="1"/>
    <col min="4" max="4" width="15.7109375" style="98" customWidth="1"/>
    <col min="5" max="5" width="42.7109375" style="103" customWidth="1"/>
    <col min="6" max="6" width="26.140625" style="9" customWidth="1"/>
    <col min="7" max="7" width="3.28515625" style="9" customWidth="1"/>
    <col min="8" max="8" width="12.5703125" style="98" customWidth="1"/>
    <col min="9" max="10" width="9.140625" style="98"/>
    <col min="11" max="11" width="11" style="98" customWidth="1"/>
    <col min="12" max="12" width="13.7109375" style="98" customWidth="1"/>
    <col min="13" max="13" width="14" style="98" customWidth="1"/>
    <col min="14" max="14" width="9.140625" style="98"/>
    <col min="15" max="16384" width="9.140625" style="4"/>
  </cols>
  <sheetData>
    <row r="1" spans="1:14" ht="30" x14ac:dyDescent="0.25">
      <c r="A1" s="5" t="s">
        <v>4539</v>
      </c>
      <c r="B1" s="5" t="s">
        <v>3472</v>
      </c>
      <c r="C1" s="5" t="s">
        <v>3473</v>
      </c>
      <c r="D1" s="5" t="s">
        <v>3474</v>
      </c>
      <c r="E1" s="5" t="s">
        <v>3475</v>
      </c>
      <c r="F1" s="5" t="s">
        <v>3542</v>
      </c>
      <c r="G1" s="5"/>
      <c r="H1" s="5" t="s">
        <v>4402</v>
      </c>
      <c r="I1" s="5" t="s">
        <v>4403</v>
      </c>
      <c r="J1" s="5" t="s">
        <v>4404</v>
      </c>
      <c r="K1" s="5" t="s">
        <v>4406</v>
      </c>
      <c r="L1" s="5" t="s">
        <v>4405</v>
      </c>
      <c r="M1" s="5" t="s">
        <v>4407</v>
      </c>
      <c r="N1" s="5" t="s">
        <v>4408</v>
      </c>
    </row>
    <row r="2" spans="1:14" ht="60" x14ac:dyDescent="0.25">
      <c r="A2" s="98">
        <v>645</v>
      </c>
      <c r="B2" s="109" t="s">
        <v>4447</v>
      </c>
      <c r="C2" s="98" t="s">
        <v>3477</v>
      </c>
      <c r="D2" s="98">
        <v>3</v>
      </c>
      <c r="E2" s="103" t="s">
        <v>4507</v>
      </c>
      <c r="F2" s="9" t="s">
        <v>4540</v>
      </c>
      <c r="M2" s="98" t="s">
        <v>3792</v>
      </c>
    </row>
    <row r="3" spans="1:14" ht="60" x14ac:dyDescent="0.25">
      <c r="A3" s="98">
        <v>655</v>
      </c>
      <c r="B3" s="109" t="s">
        <v>4449</v>
      </c>
      <c r="C3" s="98" t="s">
        <v>3477</v>
      </c>
      <c r="D3" s="98">
        <v>3</v>
      </c>
      <c r="E3" s="103" t="s">
        <v>4509</v>
      </c>
      <c r="F3" s="9" t="s">
        <v>4540</v>
      </c>
      <c r="M3" s="98" t="s">
        <v>3792</v>
      </c>
    </row>
    <row r="4" spans="1:14" ht="90" x14ac:dyDescent="0.25">
      <c r="A4" s="98">
        <v>725</v>
      </c>
      <c r="B4" s="109" t="s">
        <v>4401</v>
      </c>
      <c r="C4" s="98" t="s">
        <v>3477</v>
      </c>
      <c r="D4" s="98">
        <v>4</v>
      </c>
      <c r="E4" s="103" t="s">
        <v>4511</v>
      </c>
      <c r="F4" s="9" t="s">
        <v>4538</v>
      </c>
      <c r="N4" s="98" t="s">
        <v>3792</v>
      </c>
    </row>
    <row r="5" spans="1:14" ht="105" x14ac:dyDescent="0.25">
      <c r="A5" s="98">
        <v>605</v>
      </c>
      <c r="B5" s="103" t="s">
        <v>3476</v>
      </c>
      <c r="C5" s="98" t="s">
        <v>3479</v>
      </c>
      <c r="D5" s="98">
        <v>5</v>
      </c>
      <c r="E5" s="103" t="s">
        <v>4513</v>
      </c>
      <c r="F5" s="98" t="s">
        <v>4503</v>
      </c>
      <c r="M5" s="98" t="s">
        <v>3792</v>
      </c>
    </row>
    <row r="6" spans="1:14" ht="165" x14ac:dyDescent="0.25">
      <c r="A6" s="98">
        <v>340</v>
      </c>
      <c r="B6" s="103" t="s">
        <v>3480</v>
      </c>
      <c r="C6" s="98" t="s">
        <v>3477</v>
      </c>
      <c r="D6" s="98">
        <v>3</v>
      </c>
      <c r="E6" s="103" t="s">
        <v>4427</v>
      </c>
      <c r="F6" s="9" t="s">
        <v>3481</v>
      </c>
      <c r="K6" s="98" t="s">
        <v>3792</v>
      </c>
    </row>
    <row r="7" spans="1:14" ht="165" x14ac:dyDescent="0.25">
      <c r="A7" s="98">
        <v>330</v>
      </c>
      <c r="B7" s="103" t="s">
        <v>3482</v>
      </c>
      <c r="C7" s="98" t="s">
        <v>3477</v>
      </c>
      <c r="D7" s="98">
        <v>3</v>
      </c>
      <c r="E7" s="103" t="s">
        <v>4426</v>
      </c>
      <c r="F7" s="9" t="s">
        <v>3481</v>
      </c>
      <c r="K7" s="98" t="s">
        <v>3792</v>
      </c>
    </row>
    <row r="8" spans="1:14" ht="75" x14ac:dyDescent="0.25">
      <c r="A8" s="98">
        <v>395</v>
      </c>
      <c r="B8" s="103" t="s">
        <v>4410</v>
      </c>
      <c r="C8" s="98" t="s">
        <v>3477</v>
      </c>
      <c r="D8" s="98">
        <v>3</v>
      </c>
      <c r="E8" s="103" t="s">
        <v>4432</v>
      </c>
      <c r="F8" s="97" t="s">
        <v>3780</v>
      </c>
      <c r="G8" s="97"/>
      <c r="K8" s="98" t="s">
        <v>3792</v>
      </c>
    </row>
    <row r="9" spans="1:14" ht="75" x14ac:dyDescent="0.25">
      <c r="A9" s="98">
        <v>720</v>
      </c>
      <c r="B9" s="103" t="s">
        <v>3483</v>
      </c>
      <c r="C9" s="98" t="s">
        <v>3477</v>
      </c>
      <c r="D9" s="98">
        <v>5</v>
      </c>
      <c r="E9" s="103" t="s">
        <v>4519</v>
      </c>
      <c r="F9" s="98" t="s">
        <v>3531</v>
      </c>
      <c r="N9" s="98" t="s">
        <v>3792</v>
      </c>
    </row>
    <row r="10" spans="1:14" ht="60" x14ac:dyDescent="0.25">
      <c r="A10" s="98">
        <v>170</v>
      </c>
      <c r="B10" s="103" t="s">
        <v>3558</v>
      </c>
      <c r="C10" s="98" t="s">
        <v>3477</v>
      </c>
      <c r="D10" s="98">
        <v>3</v>
      </c>
      <c r="E10" s="103" t="s">
        <v>4454</v>
      </c>
      <c r="F10" s="9" t="s">
        <v>3520</v>
      </c>
      <c r="H10" s="98" t="s">
        <v>3792</v>
      </c>
    </row>
    <row r="11" spans="1:14" ht="180" x14ac:dyDescent="0.25">
      <c r="A11" s="98">
        <v>640</v>
      </c>
      <c r="B11" s="109" t="s">
        <v>4446</v>
      </c>
      <c r="C11" s="98" t="s">
        <v>3477</v>
      </c>
      <c r="D11" s="98">
        <v>3</v>
      </c>
      <c r="E11" s="103" t="s">
        <v>4523</v>
      </c>
      <c r="F11" s="9" t="s">
        <v>4537</v>
      </c>
      <c r="M11" s="98" t="s">
        <v>3792</v>
      </c>
    </row>
    <row r="12" spans="1:14" ht="120" x14ac:dyDescent="0.25">
      <c r="A12" s="98">
        <v>45</v>
      </c>
      <c r="B12" s="103" t="s">
        <v>3484</v>
      </c>
      <c r="C12" s="98" t="s">
        <v>3477</v>
      </c>
      <c r="D12" s="98">
        <v>2</v>
      </c>
      <c r="E12" s="103" t="s">
        <v>4524</v>
      </c>
      <c r="F12" s="9" t="s">
        <v>3485</v>
      </c>
      <c r="J12" s="98" t="s">
        <v>3792</v>
      </c>
    </row>
    <row r="13" spans="1:14" ht="240" x14ac:dyDescent="0.25">
      <c r="A13" s="98">
        <v>8</v>
      </c>
      <c r="B13" s="103" t="s">
        <v>3486</v>
      </c>
      <c r="C13" s="98" t="s">
        <v>3477</v>
      </c>
      <c r="D13" s="98">
        <v>3</v>
      </c>
      <c r="E13" s="103" t="s">
        <v>4420</v>
      </c>
      <c r="F13" s="9" t="s">
        <v>3731</v>
      </c>
      <c r="J13" s="98" t="s">
        <v>3792</v>
      </c>
      <c r="K13" s="98" t="s">
        <v>3792</v>
      </c>
      <c r="L13" s="98" t="s">
        <v>3792</v>
      </c>
      <c r="M13" s="98" t="s">
        <v>3792</v>
      </c>
      <c r="N13" s="98" t="s">
        <v>3792</v>
      </c>
    </row>
    <row r="14" spans="1:14" ht="120" x14ac:dyDescent="0.25">
      <c r="A14" s="98">
        <v>9</v>
      </c>
      <c r="B14" s="103" t="s">
        <v>3487</v>
      </c>
      <c r="C14" s="98" t="s">
        <v>3477</v>
      </c>
      <c r="D14" s="98">
        <v>3</v>
      </c>
      <c r="E14" s="103" t="s">
        <v>4421</v>
      </c>
      <c r="F14" s="9" t="s">
        <v>3732</v>
      </c>
      <c r="K14" s="98" t="s">
        <v>3792</v>
      </c>
      <c r="L14" s="98" t="s">
        <v>3792</v>
      </c>
      <c r="M14" s="98" t="s">
        <v>3792</v>
      </c>
      <c r="N14" s="98" t="s">
        <v>3792</v>
      </c>
    </row>
    <row r="15" spans="1:14" ht="120" x14ac:dyDescent="0.25">
      <c r="A15" s="98">
        <v>540</v>
      </c>
      <c r="B15" s="103" t="s">
        <v>3579</v>
      </c>
      <c r="C15" s="98" t="s">
        <v>3479</v>
      </c>
      <c r="D15" s="98">
        <v>6</v>
      </c>
      <c r="E15" s="103" t="s">
        <v>4527</v>
      </c>
      <c r="F15" s="9" t="s">
        <v>4536</v>
      </c>
      <c r="L15" s="98" t="s">
        <v>3792</v>
      </c>
    </row>
    <row r="16" spans="1:14" ht="90" x14ac:dyDescent="0.25">
      <c r="A16" s="98">
        <v>555</v>
      </c>
      <c r="B16" s="103" t="s">
        <v>3488</v>
      </c>
      <c r="C16" s="98" t="s">
        <v>3479</v>
      </c>
      <c r="D16" s="98">
        <v>6</v>
      </c>
      <c r="E16" s="103" t="s">
        <v>4439</v>
      </c>
      <c r="F16" s="9" t="s">
        <v>3489</v>
      </c>
      <c r="L16" s="98" t="s">
        <v>3792</v>
      </c>
    </row>
    <row r="17" spans="1:14" ht="120" x14ac:dyDescent="0.25">
      <c r="A17" s="98">
        <v>560</v>
      </c>
      <c r="B17" s="103" t="s">
        <v>3490</v>
      </c>
      <c r="C17" s="98" t="s">
        <v>3479</v>
      </c>
      <c r="D17" s="98">
        <v>6</v>
      </c>
      <c r="E17" s="103" t="s">
        <v>4440</v>
      </c>
      <c r="F17" s="9" t="s">
        <v>3789</v>
      </c>
      <c r="L17" s="98" t="s">
        <v>3792</v>
      </c>
    </row>
    <row r="18" spans="1:14" ht="120" x14ac:dyDescent="0.25">
      <c r="A18" s="98">
        <v>375</v>
      </c>
      <c r="B18" s="103" t="s">
        <v>3491</v>
      </c>
      <c r="C18" s="98" t="s">
        <v>3477</v>
      </c>
      <c r="D18" s="98">
        <v>2</v>
      </c>
      <c r="E18" s="103" t="s">
        <v>4430</v>
      </c>
      <c r="F18" s="9" t="s">
        <v>3733</v>
      </c>
      <c r="K18" s="98" t="s">
        <v>3792</v>
      </c>
    </row>
    <row r="19" spans="1:14" ht="165" x14ac:dyDescent="0.25">
      <c r="A19" s="98">
        <v>365</v>
      </c>
      <c r="B19" s="103" t="s">
        <v>3546</v>
      </c>
      <c r="C19" s="98" t="s">
        <v>3477</v>
      </c>
      <c r="D19" s="98">
        <v>3</v>
      </c>
      <c r="E19" s="103" t="s">
        <v>4429</v>
      </c>
      <c r="F19" s="9" t="s">
        <v>3481</v>
      </c>
      <c r="K19" s="98" t="s">
        <v>3792</v>
      </c>
    </row>
    <row r="20" spans="1:14" ht="165" x14ac:dyDescent="0.25">
      <c r="A20" s="98">
        <v>350</v>
      </c>
      <c r="B20" s="103" t="s">
        <v>3492</v>
      </c>
      <c r="C20" s="98" t="s">
        <v>3477</v>
      </c>
      <c r="D20" s="98">
        <v>3</v>
      </c>
      <c r="E20" s="103" t="s">
        <v>4428</v>
      </c>
      <c r="F20" s="9" t="s">
        <v>3481</v>
      </c>
      <c r="K20" s="98" t="s">
        <v>3792</v>
      </c>
    </row>
    <row r="21" spans="1:14" ht="105" x14ac:dyDescent="0.25">
      <c r="A21" s="98">
        <v>715</v>
      </c>
      <c r="B21" s="103" t="s">
        <v>3493</v>
      </c>
      <c r="C21" s="98" t="s">
        <v>3477</v>
      </c>
      <c r="D21" s="98">
        <v>5</v>
      </c>
      <c r="E21" s="103" t="s">
        <v>4457</v>
      </c>
      <c r="F21" s="98" t="s">
        <v>3531</v>
      </c>
      <c r="N21" s="98" t="s">
        <v>3792</v>
      </c>
    </row>
    <row r="22" spans="1:14" ht="45" x14ac:dyDescent="0.25">
      <c r="A22" s="98">
        <v>380</v>
      </c>
      <c r="B22" s="103" t="s">
        <v>3547</v>
      </c>
      <c r="C22" s="98" t="s">
        <v>3479</v>
      </c>
      <c r="D22" s="98">
        <v>6</v>
      </c>
      <c r="E22" s="103" t="s">
        <v>4458</v>
      </c>
      <c r="F22" s="98" t="s">
        <v>3532</v>
      </c>
      <c r="K22" s="98" t="s">
        <v>3792</v>
      </c>
    </row>
    <row r="23" spans="1:14" ht="90" x14ac:dyDescent="0.25">
      <c r="A23" s="98">
        <v>545</v>
      </c>
      <c r="B23" s="103" t="s">
        <v>3494</v>
      </c>
      <c r="C23" s="98" t="s">
        <v>3479</v>
      </c>
      <c r="D23" s="98">
        <v>6</v>
      </c>
      <c r="E23" s="103" t="s">
        <v>4459</v>
      </c>
      <c r="F23" s="9" t="s">
        <v>3489</v>
      </c>
      <c r="L23" s="98" t="s">
        <v>3792</v>
      </c>
    </row>
    <row r="24" spans="1:14" ht="60" x14ac:dyDescent="0.25">
      <c r="A24" s="98">
        <v>550</v>
      </c>
      <c r="B24" s="103" t="s">
        <v>3495</v>
      </c>
      <c r="C24" s="98" t="s">
        <v>3477</v>
      </c>
      <c r="D24" s="98">
        <v>2</v>
      </c>
      <c r="E24" s="103" t="s">
        <v>4460</v>
      </c>
      <c r="F24" s="9" t="s">
        <v>3496</v>
      </c>
      <c r="L24" s="98" t="s">
        <v>3792</v>
      </c>
    </row>
    <row r="25" spans="1:14" ht="150" x14ac:dyDescent="0.25">
      <c r="A25" s="98">
        <v>600</v>
      </c>
      <c r="B25" s="103" t="s">
        <v>3786</v>
      </c>
      <c r="C25" s="98" t="s">
        <v>3477</v>
      </c>
      <c r="D25" s="98">
        <v>3</v>
      </c>
      <c r="E25" s="103" t="s">
        <v>4529</v>
      </c>
      <c r="F25" s="9" t="s">
        <v>4542</v>
      </c>
      <c r="M25" s="98" t="s">
        <v>3792</v>
      </c>
    </row>
    <row r="26" spans="1:14" ht="135" x14ac:dyDescent="0.25">
      <c r="A26" s="98">
        <v>500</v>
      </c>
      <c r="B26" s="103" t="s">
        <v>3497</v>
      </c>
      <c r="C26" s="98" t="s">
        <v>3479</v>
      </c>
      <c r="D26" s="98">
        <v>6</v>
      </c>
      <c r="E26" s="103" t="s">
        <v>4461</v>
      </c>
      <c r="F26" s="9" t="s">
        <v>3498</v>
      </c>
      <c r="L26" s="98" t="s">
        <v>3792</v>
      </c>
    </row>
    <row r="27" spans="1:14" ht="90" x14ac:dyDescent="0.25">
      <c r="A27" s="98">
        <v>390</v>
      </c>
      <c r="B27" s="103" t="s">
        <v>4411</v>
      </c>
      <c r="C27" s="98" t="s">
        <v>3477</v>
      </c>
      <c r="D27" s="98">
        <v>3</v>
      </c>
      <c r="E27" s="103" t="s">
        <v>4462</v>
      </c>
      <c r="F27" s="98" t="s">
        <v>3749</v>
      </c>
      <c r="G27" s="97"/>
      <c r="K27" s="98" t="s">
        <v>3792</v>
      </c>
    </row>
    <row r="28" spans="1:14" ht="150" x14ac:dyDescent="0.25">
      <c r="A28" s="98">
        <v>405</v>
      </c>
      <c r="B28" s="103" t="s">
        <v>4412</v>
      </c>
      <c r="C28" s="98" t="s">
        <v>3477</v>
      </c>
      <c r="D28" s="98">
        <v>3</v>
      </c>
      <c r="E28" s="103" t="s">
        <v>4434</v>
      </c>
      <c r="F28" s="99" t="s">
        <v>3781</v>
      </c>
      <c r="G28" s="99"/>
      <c r="K28" s="98" t="s">
        <v>3792</v>
      </c>
    </row>
    <row r="29" spans="1:14" ht="180" x14ac:dyDescent="0.25">
      <c r="A29" s="98">
        <v>510</v>
      </c>
      <c r="B29" s="103" t="s">
        <v>3499</v>
      </c>
      <c r="C29" s="98" t="s">
        <v>3479</v>
      </c>
      <c r="D29" s="98">
        <v>6</v>
      </c>
      <c r="E29" s="103" t="s">
        <v>4463</v>
      </c>
      <c r="F29" s="9" t="s">
        <v>3500</v>
      </c>
      <c r="L29" s="98" t="s">
        <v>3792</v>
      </c>
    </row>
    <row r="30" spans="1:14" ht="105" x14ac:dyDescent="0.25">
      <c r="A30" s="98">
        <v>515</v>
      </c>
      <c r="B30" s="103" t="s">
        <v>3501</v>
      </c>
      <c r="C30" s="98" t="s">
        <v>3477</v>
      </c>
      <c r="D30" s="98">
        <v>2</v>
      </c>
      <c r="E30" s="103" t="s">
        <v>4435</v>
      </c>
      <c r="F30" s="9" t="s">
        <v>3769</v>
      </c>
      <c r="L30" s="98" t="s">
        <v>3792</v>
      </c>
    </row>
    <row r="31" spans="1:14" ht="150" x14ac:dyDescent="0.25">
      <c r="A31" s="98">
        <v>525</v>
      </c>
      <c r="B31" s="103" t="s">
        <v>3502</v>
      </c>
      <c r="C31" s="98" t="s">
        <v>3477</v>
      </c>
      <c r="D31" s="98">
        <v>2</v>
      </c>
      <c r="E31" s="103" t="s">
        <v>4466</v>
      </c>
      <c r="F31" s="9" t="s">
        <v>3773</v>
      </c>
      <c r="L31" s="98" t="s">
        <v>3792</v>
      </c>
    </row>
    <row r="32" spans="1:14" ht="60" x14ac:dyDescent="0.25">
      <c r="A32" s="98">
        <v>530</v>
      </c>
      <c r="B32" s="103" t="s">
        <v>3503</v>
      </c>
      <c r="C32" s="98" t="s">
        <v>3477</v>
      </c>
      <c r="D32" s="98">
        <v>2</v>
      </c>
      <c r="E32" s="103" t="s">
        <v>4437</v>
      </c>
      <c r="F32" s="9" t="s">
        <v>3774</v>
      </c>
      <c r="L32" s="98" t="s">
        <v>3792</v>
      </c>
    </row>
    <row r="33" spans="1:14" ht="75" x14ac:dyDescent="0.25">
      <c r="A33" s="98">
        <v>315</v>
      </c>
      <c r="B33" s="103" t="s">
        <v>3504</v>
      </c>
      <c r="C33" s="98" t="s">
        <v>3477</v>
      </c>
      <c r="D33" s="98">
        <v>2</v>
      </c>
      <c r="E33" s="103" t="s">
        <v>4423</v>
      </c>
      <c r="F33" s="9" t="s">
        <v>3530</v>
      </c>
      <c r="K33" s="98" t="s">
        <v>3792</v>
      </c>
      <c r="L33" s="98" t="s">
        <v>3792</v>
      </c>
    </row>
    <row r="34" spans="1:14" ht="45" x14ac:dyDescent="0.25">
      <c r="A34" s="98">
        <v>3</v>
      </c>
      <c r="B34" s="103" t="s">
        <v>3536</v>
      </c>
      <c r="C34" s="98" t="s">
        <v>3479</v>
      </c>
      <c r="D34" s="98">
        <v>5</v>
      </c>
      <c r="E34" s="103" t="s">
        <v>4467</v>
      </c>
      <c r="F34" s="9" t="s">
        <v>3537</v>
      </c>
      <c r="H34" s="98" t="s">
        <v>3792</v>
      </c>
      <c r="I34" s="98" t="s">
        <v>3792</v>
      </c>
      <c r="J34" s="98" t="s">
        <v>3792</v>
      </c>
      <c r="K34" s="98" t="s">
        <v>3792</v>
      </c>
      <c r="L34" s="98" t="s">
        <v>3792</v>
      </c>
      <c r="M34" s="98" t="s">
        <v>3792</v>
      </c>
      <c r="N34" s="98" t="s">
        <v>3792</v>
      </c>
    </row>
    <row r="35" spans="1:14" ht="90" x14ac:dyDescent="0.25">
      <c r="A35" s="98">
        <v>160</v>
      </c>
      <c r="B35" s="103" t="s">
        <v>3540</v>
      </c>
      <c r="C35" s="98" t="s">
        <v>3479</v>
      </c>
      <c r="D35" s="98">
        <v>2</v>
      </c>
      <c r="E35" s="103" t="s">
        <v>3541</v>
      </c>
      <c r="F35" s="9" t="s">
        <v>3500</v>
      </c>
      <c r="H35" s="98" t="s">
        <v>3792</v>
      </c>
    </row>
    <row r="36" spans="1:14" ht="75" x14ac:dyDescent="0.25">
      <c r="A36" s="98">
        <v>635</v>
      </c>
      <c r="B36" s="103" t="s">
        <v>3505</v>
      </c>
      <c r="C36" s="98" t="s">
        <v>3477</v>
      </c>
      <c r="D36" s="98">
        <v>3</v>
      </c>
      <c r="E36" s="103" t="s">
        <v>4445</v>
      </c>
      <c r="F36" s="9" t="s">
        <v>3782</v>
      </c>
      <c r="M36" s="98" t="s">
        <v>3792</v>
      </c>
    </row>
    <row r="37" spans="1:14" ht="120" x14ac:dyDescent="0.25">
      <c r="A37" s="98">
        <v>70</v>
      </c>
      <c r="B37" s="103" t="s">
        <v>3506</v>
      </c>
      <c r="C37" s="98" t="s">
        <v>3477</v>
      </c>
      <c r="D37" s="98">
        <v>2</v>
      </c>
      <c r="E37" s="103" t="s">
        <v>4474</v>
      </c>
      <c r="F37" s="9" t="s">
        <v>3507</v>
      </c>
      <c r="J37" s="98" t="s">
        <v>3792</v>
      </c>
    </row>
    <row r="38" spans="1:14" ht="165" x14ac:dyDescent="0.25">
      <c r="A38" s="98">
        <v>75</v>
      </c>
      <c r="B38" s="103" t="s">
        <v>3508</v>
      </c>
      <c r="C38" s="98" t="s">
        <v>3477</v>
      </c>
      <c r="D38" s="98">
        <v>2</v>
      </c>
      <c r="E38" s="103" t="s">
        <v>4475</v>
      </c>
      <c r="F38" s="9" t="s">
        <v>3509</v>
      </c>
      <c r="J38" s="98" t="s">
        <v>3792</v>
      </c>
    </row>
    <row r="39" spans="1:14" ht="180" x14ac:dyDescent="0.25">
      <c r="A39" s="98">
        <v>755</v>
      </c>
      <c r="B39" s="103" t="s">
        <v>3510</v>
      </c>
      <c r="C39" s="98" t="s">
        <v>3477</v>
      </c>
      <c r="D39" s="98">
        <v>3</v>
      </c>
      <c r="E39" s="103" t="s">
        <v>4453</v>
      </c>
      <c r="F39" s="7" t="s">
        <v>3770</v>
      </c>
      <c r="G39" s="7"/>
      <c r="N39" s="98" t="s">
        <v>3792</v>
      </c>
    </row>
    <row r="40" spans="1:14" ht="180" x14ac:dyDescent="0.25">
      <c r="A40" s="98">
        <v>705</v>
      </c>
      <c r="B40" s="103" t="s">
        <v>3511</v>
      </c>
      <c r="C40" s="98" t="s">
        <v>3477</v>
      </c>
      <c r="D40" s="98">
        <v>3</v>
      </c>
      <c r="E40" s="103" t="s">
        <v>4452</v>
      </c>
      <c r="F40" s="9" t="s">
        <v>3512</v>
      </c>
      <c r="N40" s="98" t="s">
        <v>3792</v>
      </c>
    </row>
    <row r="41" spans="1:14" ht="165" x14ac:dyDescent="0.25">
      <c r="A41" s="98">
        <v>535</v>
      </c>
      <c r="B41" s="103" t="s">
        <v>3513</v>
      </c>
      <c r="C41" s="98" t="s">
        <v>3477</v>
      </c>
      <c r="D41" s="98">
        <v>2</v>
      </c>
      <c r="E41" s="103" t="s">
        <v>4438</v>
      </c>
      <c r="F41" s="9" t="s">
        <v>4544</v>
      </c>
      <c r="L41" s="98" t="s">
        <v>3792</v>
      </c>
    </row>
    <row r="42" spans="1:14" ht="120" x14ac:dyDescent="0.25">
      <c r="A42" s="98">
        <v>205</v>
      </c>
      <c r="B42" s="103" t="s">
        <v>3515</v>
      </c>
      <c r="C42" s="98" t="s">
        <v>3477</v>
      </c>
      <c r="D42" s="98">
        <v>3</v>
      </c>
      <c r="E42" s="103" t="s">
        <v>4530</v>
      </c>
      <c r="F42" s="9" t="s">
        <v>3516</v>
      </c>
      <c r="I42" s="98" t="s">
        <v>3792</v>
      </c>
    </row>
    <row r="43" spans="1:14" ht="75" x14ac:dyDescent="0.25">
      <c r="A43" s="98">
        <v>240</v>
      </c>
      <c r="B43" s="103" t="s">
        <v>3517</v>
      </c>
      <c r="C43" s="98" t="s">
        <v>3479</v>
      </c>
      <c r="D43" s="98">
        <v>6</v>
      </c>
      <c r="E43" s="103" t="s">
        <v>4486</v>
      </c>
      <c r="F43" s="98" t="s">
        <v>3533</v>
      </c>
      <c r="G43" s="98"/>
      <c r="I43" s="98" t="s">
        <v>3792</v>
      </c>
    </row>
    <row r="44" spans="1:14" ht="105" x14ac:dyDescent="0.25">
      <c r="A44" s="98">
        <v>60</v>
      </c>
      <c r="B44" s="103" t="s">
        <v>3585</v>
      </c>
      <c r="C44" s="98" t="s">
        <v>3477</v>
      </c>
      <c r="D44" s="98">
        <v>2</v>
      </c>
      <c r="E44" s="103" t="s">
        <v>4487</v>
      </c>
      <c r="F44" s="9" t="s">
        <v>3514</v>
      </c>
      <c r="J44" s="98" t="s">
        <v>3792</v>
      </c>
    </row>
    <row r="45" spans="1:14" ht="150" x14ac:dyDescent="0.25">
      <c r="A45" s="98">
        <v>65</v>
      </c>
      <c r="B45" s="103" t="s">
        <v>3586</v>
      </c>
      <c r="C45" s="98" t="s">
        <v>3477</v>
      </c>
      <c r="D45" s="98">
        <v>2</v>
      </c>
      <c r="E45" s="103" t="s">
        <v>4531</v>
      </c>
      <c r="F45" s="9" t="s">
        <v>3509</v>
      </c>
      <c r="J45" s="98" t="s">
        <v>3792</v>
      </c>
    </row>
    <row r="46" spans="1:14" ht="75" x14ac:dyDescent="0.25">
      <c r="A46" s="98">
        <v>230</v>
      </c>
      <c r="B46" s="103" t="s">
        <v>3518</v>
      </c>
      <c r="C46" s="98" t="s">
        <v>3479</v>
      </c>
      <c r="D46" s="98">
        <v>6</v>
      </c>
      <c r="E46" s="103" t="s">
        <v>4489</v>
      </c>
      <c r="F46" s="98" t="s">
        <v>3533</v>
      </c>
      <c r="G46" s="98"/>
      <c r="I46" s="98" t="s">
        <v>3792</v>
      </c>
    </row>
    <row r="47" spans="1:14" ht="75" x14ac:dyDescent="0.25">
      <c r="A47" s="98">
        <v>200</v>
      </c>
      <c r="B47" s="103" t="s">
        <v>3519</v>
      </c>
      <c r="C47" s="98" t="s">
        <v>3477</v>
      </c>
      <c r="D47" s="98">
        <v>2</v>
      </c>
      <c r="E47" s="103" t="s">
        <v>4493</v>
      </c>
      <c r="F47" s="9" t="s">
        <v>3520</v>
      </c>
      <c r="I47" s="98" t="s">
        <v>3792</v>
      </c>
    </row>
    <row r="48" spans="1:14" ht="240" x14ac:dyDescent="0.25">
      <c r="A48" s="98">
        <v>7</v>
      </c>
      <c r="B48" s="103" t="s">
        <v>3521</v>
      </c>
      <c r="C48" s="98" t="s">
        <v>3477</v>
      </c>
      <c r="D48" s="98">
        <v>3</v>
      </c>
      <c r="E48" s="103" t="s">
        <v>4419</v>
      </c>
      <c r="F48" s="9" t="s">
        <v>3730</v>
      </c>
      <c r="K48" s="98" t="s">
        <v>3792</v>
      </c>
      <c r="L48" s="98" t="s">
        <v>3792</v>
      </c>
      <c r="M48" s="98" t="s">
        <v>3792</v>
      </c>
      <c r="N48" s="98" t="s">
        <v>3792</v>
      </c>
    </row>
    <row r="49" spans="1:13" ht="60" x14ac:dyDescent="0.25">
      <c r="A49" s="98">
        <v>325</v>
      </c>
      <c r="B49" s="103" t="s">
        <v>4532</v>
      </c>
      <c r="C49" s="98" t="s">
        <v>3477</v>
      </c>
      <c r="D49" s="98">
        <v>3</v>
      </c>
      <c r="E49" s="103" t="s">
        <v>4425</v>
      </c>
      <c r="F49" s="98" t="s">
        <v>3534</v>
      </c>
      <c r="G49" s="98"/>
      <c r="K49" s="98" t="s">
        <v>3792</v>
      </c>
      <c r="L49" s="98" t="s">
        <v>3792</v>
      </c>
    </row>
    <row r="50" spans="1:13" ht="90" x14ac:dyDescent="0.25">
      <c r="A50" s="98">
        <v>320</v>
      </c>
      <c r="B50" s="103" t="s">
        <v>4533</v>
      </c>
      <c r="C50" s="98" t="s">
        <v>3477</v>
      </c>
      <c r="D50" s="98">
        <v>3</v>
      </c>
      <c r="E50" s="103" t="s">
        <v>4424</v>
      </c>
      <c r="F50" s="98" t="s">
        <v>3534</v>
      </c>
      <c r="G50" s="98"/>
      <c r="K50" s="98" t="s">
        <v>3792</v>
      </c>
      <c r="L50" s="98" t="s">
        <v>3792</v>
      </c>
    </row>
    <row r="51" spans="1:13" ht="408.95" customHeight="1" x14ac:dyDescent="0.25">
      <c r="A51" s="98">
        <v>520</v>
      </c>
      <c r="B51" s="103" t="s">
        <v>3522</v>
      </c>
      <c r="C51" s="98" t="s">
        <v>3477</v>
      </c>
      <c r="D51" s="98">
        <v>3</v>
      </c>
      <c r="E51" s="103" t="s">
        <v>4436</v>
      </c>
      <c r="F51" s="9" t="s">
        <v>4534</v>
      </c>
      <c r="L51" s="98" t="s">
        <v>3792</v>
      </c>
    </row>
    <row r="52" spans="1:13" ht="225" x14ac:dyDescent="0.25">
      <c r="A52" s="98">
        <v>90</v>
      </c>
      <c r="B52" s="103" t="s">
        <v>3523</v>
      </c>
      <c r="C52" s="98" t="s">
        <v>3477</v>
      </c>
      <c r="D52" s="98">
        <v>3</v>
      </c>
      <c r="E52" s="103" t="s">
        <v>4418</v>
      </c>
      <c r="F52" s="9" t="s">
        <v>3524</v>
      </c>
      <c r="J52" s="98" t="s">
        <v>3792</v>
      </c>
    </row>
    <row r="53" spans="1:13" ht="90" x14ac:dyDescent="0.25">
      <c r="A53" s="98">
        <v>620</v>
      </c>
      <c r="B53" s="103" t="s">
        <v>3525</v>
      </c>
      <c r="C53" s="98" t="s">
        <v>3479</v>
      </c>
      <c r="D53" s="98">
        <v>25</v>
      </c>
      <c r="E53" s="103" t="s">
        <v>4495</v>
      </c>
      <c r="F53" s="98" t="s">
        <v>3535</v>
      </c>
      <c r="G53" s="98"/>
      <c r="M53" s="98" t="s">
        <v>3792</v>
      </c>
    </row>
    <row r="54" spans="1:13" ht="75" x14ac:dyDescent="0.25">
      <c r="A54" s="98">
        <v>630</v>
      </c>
      <c r="B54" s="103" t="s">
        <v>3551</v>
      </c>
      <c r="C54" s="98" t="s">
        <v>3479</v>
      </c>
      <c r="D54" s="98">
        <v>6</v>
      </c>
      <c r="E54" s="103" t="s">
        <v>4444</v>
      </c>
      <c r="F54" s="97" t="s">
        <v>3787</v>
      </c>
      <c r="G54" s="98"/>
      <c r="M54" s="98" t="s">
        <v>3792</v>
      </c>
    </row>
    <row r="55" spans="1:13" ht="75" x14ac:dyDescent="0.25">
      <c r="A55" s="98">
        <v>400</v>
      </c>
      <c r="B55" s="106" t="s">
        <v>4413</v>
      </c>
      <c r="C55" s="98" t="s">
        <v>3479</v>
      </c>
      <c r="D55" s="108">
        <v>6</v>
      </c>
      <c r="E55" s="105" t="s">
        <v>4433</v>
      </c>
      <c r="F55" s="97" t="s">
        <v>3787</v>
      </c>
      <c r="G55" s="98"/>
      <c r="K55" s="98" t="s">
        <v>3792</v>
      </c>
    </row>
    <row r="56" spans="1:13" ht="150" x14ac:dyDescent="0.25">
      <c r="A56" s="98">
        <v>80</v>
      </c>
      <c r="B56" s="104" t="s">
        <v>3584</v>
      </c>
      <c r="C56" s="98" t="s">
        <v>3479</v>
      </c>
      <c r="D56" s="98">
        <v>3</v>
      </c>
      <c r="E56" s="103" t="s">
        <v>4417</v>
      </c>
      <c r="F56" s="107" t="s">
        <v>4535</v>
      </c>
      <c r="G56" s="102"/>
      <c r="J56" s="98" t="s">
        <v>3792</v>
      </c>
    </row>
    <row r="57" spans="1:13" ht="75" x14ac:dyDescent="0.25">
      <c r="A57" s="98">
        <v>155</v>
      </c>
      <c r="B57" s="103" t="s">
        <v>3526</v>
      </c>
      <c r="C57" s="98" t="s">
        <v>3477</v>
      </c>
      <c r="D57" s="98">
        <v>2</v>
      </c>
      <c r="E57" s="103" t="s">
        <v>4498</v>
      </c>
      <c r="F57" s="9" t="s">
        <v>4502</v>
      </c>
      <c r="H57" s="98" t="s">
        <v>3792</v>
      </c>
    </row>
    <row r="58" spans="1:13" ht="135" x14ac:dyDescent="0.25">
      <c r="A58" s="98">
        <v>610</v>
      </c>
      <c r="B58" s="103" t="s">
        <v>3527</v>
      </c>
      <c r="C58" s="98" t="s">
        <v>3477</v>
      </c>
      <c r="D58" s="98">
        <v>3</v>
      </c>
      <c r="E58" s="103" t="s">
        <v>4442</v>
      </c>
      <c r="F58" s="9" t="s">
        <v>3783</v>
      </c>
      <c r="M58" s="98" t="s">
        <v>3792</v>
      </c>
    </row>
    <row r="59" spans="1:13" ht="60" x14ac:dyDescent="0.25">
      <c r="A59" s="98">
        <v>625</v>
      </c>
      <c r="B59" s="103" t="s">
        <v>3550</v>
      </c>
      <c r="C59" s="98" t="s">
        <v>3563</v>
      </c>
      <c r="D59" s="98">
        <v>10</v>
      </c>
      <c r="E59" s="103" t="s">
        <v>4443</v>
      </c>
      <c r="F59" s="9" t="s">
        <v>3788</v>
      </c>
      <c r="M59" s="98" t="s">
        <v>3792</v>
      </c>
    </row>
    <row r="60" spans="1:13" ht="60" x14ac:dyDescent="0.25">
      <c r="A60" s="98">
        <v>570</v>
      </c>
      <c r="B60" s="103" t="s">
        <v>3528</v>
      </c>
      <c r="C60" s="98" t="s">
        <v>3477</v>
      </c>
      <c r="D60" s="98">
        <v>2</v>
      </c>
      <c r="E60" s="103" t="s">
        <v>4441</v>
      </c>
      <c r="F60" s="9" t="s">
        <v>3529</v>
      </c>
      <c r="L60" s="98" t="s">
        <v>3792</v>
      </c>
    </row>
  </sheetData>
  <autoFilter ref="A1:N60"/>
  <printOptions horizontalCentered="1" gridLines="1"/>
  <pageMargins left="0.45" right="0.45" top="0.5" bottom="0.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3"/>
  <sheetViews>
    <sheetView topLeftCell="A755" workbookViewId="0">
      <selection activeCell="D776" sqref="D776"/>
    </sheetView>
  </sheetViews>
  <sheetFormatPr defaultRowHeight="15" x14ac:dyDescent="0.25"/>
  <cols>
    <col min="1" max="1" width="17.7109375" style="1" customWidth="1"/>
    <col min="2" max="2" width="36.85546875" customWidth="1"/>
  </cols>
  <sheetData>
    <row r="1" spans="1:2" ht="75" customHeight="1" x14ac:dyDescent="0.25">
      <c r="A1" s="2" t="s">
        <v>3784</v>
      </c>
      <c r="B1" s="96" t="s">
        <v>3785</v>
      </c>
    </row>
    <row r="2" spans="1:2" ht="35.25" customHeight="1" x14ac:dyDescent="0.25">
      <c r="A2" s="2" t="s">
        <v>0</v>
      </c>
      <c r="B2" s="2" t="s">
        <v>1</v>
      </c>
    </row>
    <row r="3" spans="1:2" x14ac:dyDescent="0.25">
      <c r="A3" s="1">
        <v>1</v>
      </c>
      <c r="B3" t="s">
        <v>2</v>
      </c>
    </row>
    <row r="4" spans="1:2" x14ac:dyDescent="0.25">
      <c r="A4" s="1">
        <v>2</v>
      </c>
      <c r="B4" t="s">
        <v>3</v>
      </c>
    </row>
    <row r="5" spans="1:2" x14ac:dyDescent="0.25">
      <c r="A5" s="1">
        <v>5</v>
      </c>
      <c r="B5" t="s">
        <v>4</v>
      </c>
    </row>
    <row r="6" spans="1:2" x14ac:dyDescent="0.25">
      <c r="A6" s="1">
        <v>6</v>
      </c>
      <c r="B6" t="s">
        <v>5</v>
      </c>
    </row>
    <row r="7" spans="1:2" x14ac:dyDescent="0.25">
      <c r="A7" s="1">
        <v>7</v>
      </c>
      <c r="B7" t="s">
        <v>6</v>
      </c>
    </row>
    <row r="8" spans="1:2" x14ac:dyDescent="0.25">
      <c r="A8" s="1">
        <v>8</v>
      </c>
      <c r="B8" t="s">
        <v>7</v>
      </c>
    </row>
    <row r="9" spans="1:2" x14ac:dyDescent="0.25">
      <c r="A9" s="1">
        <v>9</v>
      </c>
      <c r="B9" t="s">
        <v>8</v>
      </c>
    </row>
    <row r="10" spans="1:2" x14ac:dyDescent="0.25">
      <c r="A10" s="1">
        <v>10</v>
      </c>
      <c r="B10" t="s">
        <v>9</v>
      </c>
    </row>
    <row r="11" spans="1:2" x14ac:dyDescent="0.25">
      <c r="A11" s="1">
        <v>12</v>
      </c>
      <c r="B11" t="s">
        <v>10</v>
      </c>
    </row>
    <row r="12" spans="1:2" x14ac:dyDescent="0.25">
      <c r="A12" s="1">
        <v>13</v>
      </c>
      <c r="B12" t="s">
        <v>11</v>
      </c>
    </row>
    <row r="13" spans="1:2" x14ac:dyDescent="0.25">
      <c r="A13" s="1">
        <v>14</v>
      </c>
      <c r="B13" t="s">
        <v>12</v>
      </c>
    </row>
    <row r="14" spans="1:2" x14ac:dyDescent="0.25">
      <c r="A14" s="1">
        <v>15</v>
      </c>
      <c r="B14" t="s">
        <v>13</v>
      </c>
    </row>
    <row r="15" spans="1:2" x14ac:dyDescent="0.25">
      <c r="A15" s="1">
        <v>16</v>
      </c>
      <c r="B15" t="s">
        <v>14</v>
      </c>
    </row>
    <row r="16" spans="1:2" x14ac:dyDescent="0.25">
      <c r="A16" s="1">
        <v>17</v>
      </c>
      <c r="B16" t="s">
        <v>15</v>
      </c>
    </row>
    <row r="17" spans="1:2" x14ac:dyDescent="0.25">
      <c r="A17" s="1">
        <v>18</v>
      </c>
      <c r="B17" t="s">
        <v>16</v>
      </c>
    </row>
    <row r="18" spans="1:2" x14ac:dyDescent="0.25">
      <c r="A18" s="1">
        <v>19</v>
      </c>
      <c r="B18" t="s">
        <v>17</v>
      </c>
    </row>
    <row r="19" spans="1:2" x14ac:dyDescent="0.25">
      <c r="A19" s="1">
        <v>20</v>
      </c>
      <c r="B19" t="s">
        <v>18</v>
      </c>
    </row>
    <row r="20" spans="1:2" x14ac:dyDescent="0.25">
      <c r="A20" s="1">
        <v>21</v>
      </c>
      <c r="B20" t="s">
        <v>19</v>
      </c>
    </row>
    <row r="21" spans="1:2" x14ac:dyDescent="0.25">
      <c r="A21" s="1">
        <v>22</v>
      </c>
      <c r="B21" t="s">
        <v>20</v>
      </c>
    </row>
    <row r="22" spans="1:2" x14ac:dyDescent="0.25">
      <c r="A22" s="1">
        <v>23</v>
      </c>
      <c r="B22" t="s">
        <v>21</v>
      </c>
    </row>
    <row r="23" spans="1:2" x14ac:dyDescent="0.25">
      <c r="A23" s="1">
        <v>24</v>
      </c>
      <c r="B23" t="s">
        <v>22</v>
      </c>
    </row>
    <row r="24" spans="1:2" x14ac:dyDescent="0.25">
      <c r="A24" s="1">
        <v>25</v>
      </c>
      <c r="B24" t="s">
        <v>23</v>
      </c>
    </row>
    <row r="25" spans="1:2" x14ac:dyDescent="0.25">
      <c r="A25" s="1">
        <v>26</v>
      </c>
      <c r="B25" t="s">
        <v>24</v>
      </c>
    </row>
    <row r="26" spans="1:2" x14ac:dyDescent="0.25">
      <c r="A26" s="1">
        <v>27</v>
      </c>
      <c r="B26" t="s">
        <v>25</v>
      </c>
    </row>
    <row r="27" spans="1:2" x14ac:dyDescent="0.25">
      <c r="A27" s="1">
        <v>28</v>
      </c>
      <c r="B27" t="s">
        <v>26</v>
      </c>
    </row>
    <row r="28" spans="1:2" x14ac:dyDescent="0.25">
      <c r="A28" s="1">
        <v>29</v>
      </c>
      <c r="B28" t="s">
        <v>27</v>
      </c>
    </row>
    <row r="29" spans="1:2" x14ac:dyDescent="0.25">
      <c r="A29" s="1">
        <v>30</v>
      </c>
      <c r="B29" t="s">
        <v>28</v>
      </c>
    </row>
    <row r="30" spans="1:2" x14ac:dyDescent="0.25">
      <c r="A30" s="1">
        <v>31</v>
      </c>
      <c r="B30" t="s">
        <v>29</v>
      </c>
    </row>
    <row r="31" spans="1:2" x14ac:dyDescent="0.25">
      <c r="A31" s="1">
        <v>32</v>
      </c>
      <c r="B31" t="s">
        <v>30</v>
      </c>
    </row>
    <row r="32" spans="1:2" x14ac:dyDescent="0.25">
      <c r="A32" s="1">
        <v>33</v>
      </c>
      <c r="B32" t="s">
        <v>31</v>
      </c>
    </row>
    <row r="33" spans="1:2" x14ac:dyDescent="0.25">
      <c r="A33" s="1">
        <v>34</v>
      </c>
      <c r="B33" t="s">
        <v>32</v>
      </c>
    </row>
    <row r="34" spans="1:2" x14ac:dyDescent="0.25">
      <c r="A34" s="1">
        <v>35</v>
      </c>
      <c r="B34" t="s">
        <v>33</v>
      </c>
    </row>
    <row r="35" spans="1:2" x14ac:dyDescent="0.25">
      <c r="A35" s="1">
        <v>36</v>
      </c>
      <c r="B35" t="s">
        <v>34</v>
      </c>
    </row>
    <row r="36" spans="1:2" x14ac:dyDescent="0.25">
      <c r="A36" s="1">
        <v>37</v>
      </c>
      <c r="B36" t="s">
        <v>35</v>
      </c>
    </row>
    <row r="37" spans="1:2" x14ac:dyDescent="0.25">
      <c r="A37" s="1">
        <v>38</v>
      </c>
      <c r="B37" t="s">
        <v>36</v>
      </c>
    </row>
    <row r="38" spans="1:2" x14ac:dyDescent="0.25">
      <c r="A38" s="1">
        <v>39</v>
      </c>
      <c r="B38" t="s">
        <v>37</v>
      </c>
    </row>
    <row r="39" spans="1:2" x14ac:dyDescent="0.25">
      <c r="A39" s="1">
        <v>40</v>
      </c>
      <c r="B39" t="s">
        <v>38</v>
      </c>
    </row>
    <row r="40" spans="1:2" x14ac:dyDescent="0.25">
      <c r="A40" s="1">
        <v>41</v>
      </c>
      <c r="B40" t="s">
        <v>39</v>
      </c>
    </row>
    <row r="41" spans="1:2" x14ac:dyDescent="0.25">
      <c r="A41" s="1">
        <v>42</v>
      </c>
      <c r="B41" t="s">
        <v>40</v>
      </c>
    </row>
    <row r="42" spans="1:2" x14ac:dyDescent="0.25">
      <c r="A42" s="1">
        <v>43</v>
      </c>
      <c r="B42" t="s">
        <v>41</v>
      </c>
    </row>
    <row r="43" spans="1:2" x14ac:dyDescent="0.25">
      <c r="A43" s="1">
        <v>44</v>
      </c>
      <c r="B43" t="s">
        <v>42</v>
      </c>
    </row>
    <row r="44" spans="1:2" x14ac:dyDescent="0.25">
      <c r="A44" s="1">
        <v>45</v>
      </c>
      <c r="B44" t="s">
        <v>43</v>
      </c>
    </row>
    <row r="45" spans="1:2" x14ac:dyDescent="0.25">
      <c r="A45" s="1">
        <v>46</v>
      </c>
      <c r="B45" t="s">
        <v>44</v>
      </c>
    </row>
    <row r="46" spans="1:2" x14ac:dyDescent="0.25">
      <c r="A46" s="1">
        <v>47</v>
      </c>
      <c r="B46" t="s">
        <v>45</v>
      </c>
    </row>
    <row r="47" spans="1:2" x14ac:dyDescent="0.25">
      <c r="A47" s="1">
        <v>48</v>
      </c>
      <c r="B47" t="s">
        <v>46</v>
      </c>
    </row>
    <row r="48" spans="1:2" x14ac:dyDescent="0.25">
      <c r="A48" s="1">
        <v>49</v>
      </c>
      <c r="B48" t="s">
        <v>47</v>
      </c>
    </row>
    <row r="49" spans="1:2" x14ac:dyDescent="0.25">
      <c r="A49" s="1">
        <v>50</v>
      </c>
      <c r="B49" t="s">
        <v>48</v>
      </c>
    </row>
    <row r="50" spans="1:2" x14ac:dyDescent="0.25">
      <c r="A50" s="1">
        <v>51</v>
      </c>
      <c r="B50" t="s">
        <v>49</v>
      </c>
    </row>
    <row r="51" spans="1:2" x14ac:dyDescent="0.25">
      <c r="A51" s="1">
        <v>52</v>
      </c>
      <c r="B51" t="s">
        <v>50</v>
      </c>
    </row>
    <row r="52" spans="1:2" x14ac:dyDescent="0.25">
      <c r="A52" s="1">
        <v>53</v>
      </c>
      <c r="B52" t="s">
        <v>51</v>
      </c>
    </row>
    <row r="53" spans="1:2" x14ac:dyDescent="0.25">
      <c r="A53" s="1">
        <v>54</v>
      </c>
      <c r="B53" t="s">
        <v>52</v>
      </c>
    </row>
    <row r="54" spans="1:2" x14ac:dyDescent="0.25">
      <c r="A54" s="1">
        <v>55</v>
      </c>
      <c r="B54" t="s">
        <v>53</v>
      </c>
    </row>
    <row r="55" spans="1:2" x14ac:dyDescent="0.25">
      <c r="A55" s="1">
        <v>56</v>
      </c>
      <c r="B55" t="s">
        <v>54</v>
      </c>
    </row>
    <row r="56" spans="1:2" x14ac:dyDescent="0.25">
      <c r="A56" s="1">
        <v>57</v>
      </c>
      <c r="B56" t="s">
        <v>55</v>
      </c>
    </row>
    <row r="57" spans="1:2" x14ac:dyDescent="0.25">
      <c r="A57" s="1">
        <v>58</v>
      </c>
      <c r="B57" t="s">
        <v>56</v>
      </c>
    </row>
    <row r="58" spans="1:2" x14ac:dyDescent="0.25">
      <c r="A58" s="1">
        <v>59</v>
      </c>
      <c r="B58" t="s">
        <v>57</v>
      </c>
    </row>
    <row r="59" spans="1:2" x14ac:dyDescent="0.25">
      <c r="A59" s="1">
        <v>60</v>
      </c>
      <c r="B59" t="s">
        <v>58</v>
      </c>
    </row>
    <row r="60" spans="1:2" x14ac:dyDescent="0.25">
      <c r="A60" s="1">
        <v>61</v>
      </c>
      <c r="B60" t="s">
        <v>59</v>
      </c>
    </row>
    <row r="61" spans="1:2" x14ac:dyDescent="0.25">
      <c r="A61" s="1">
        <v>62</v>
      </c>
      <c r="B61" t="s">
        <v>60</v>
      </c>
    </row>
    <row r="62" spans="1:2" x14ac:dyDescent="0.25">
      <c r="A62" s="1">
        <v>63</v>
      </c>
      <c r="B62" t="s">
        <v>61</v>
      </c>
    </row>
    <row r="63" spans="1:2" x14ac:dyDescent="0.25">
      <c r="A63" s="1">
        <v>64</v>
      </c>
      <c r="B63" t="s">
        <v>62</v>
      </c>
    </row>
    <row r="64" spans="1:2" x14ac:dyDescent="0.25">
      <c r="A64" s="1">
        <v>65</v>
      </c>
      <c r="B64" t="s">
        <v>63</v>
      </c>
    </row>
    <row r="65" spans="1:2" x14ac:dyDescent="0.25">
      <c r="A65" s="1">
        <v>66</v>
      </c>
      <c r="B65" t="s">
        <v>64</v>
      </c>
    </row>
    <row r="66" spans="1:2" x14ac:dyDescent="0.25">
      <c r="A66" s="1">
        <v>67</v>
      </c>
      <c r="B66" t="s">
        <v>65</v>
      </c>
    </row>
    <row r="67" spans="1:2" x14ac:dyDescent="0.25">
      <c r="A67" s="1">
        <v>68</v>
      </c>
      <c r="B67" t="s">
        <v>66</v>
      </c>
    </row>
    <row r="68" spans="1:2" x14ac:dyDescent="0.25">
      <c r="A68" s="1">
        <v>69</v>
      </c>
      <c r="B68" t="s">
        <v>67</v>
      </c>
    </row>
    <row r="69" spans="1:2" x14ac:dyDescent="0.25">
      <c r="A69" s="1">
        <v>70</v>
      </c>
      <c r="B69" t="s">
        <v>68</v>
      </c>
    </row>
    <row r="70" spans="1:2" x14ac:dyDescent="0.25">
      <c r="A70" s="1">
        <v>71</v>
      </c>
      <c r="B70" t="s">
        <v>69</v>
      </c>
    </row>
    <row r="71" spans="1:2" x14ac:dyDescent="0.25">
      <c r="A71" s="1">
        <v>72</v>
      </c>
      <c r="B71" t="s">
        <v>70</v>
      </c>
    </row>
    <row r="72" spans="1:2" x14ac:dyDescent="0.25">
      <c r="A72" s="1">
        <v>73</v>
      </c>
      <c r="B72" t="s">
        <v>71</v>
      </c>
    </row>
    <row r="73" spans="1:2" x14ac:dyDescent="0.25">
      <c r="A73" s="1">
        <v>74</v>
      </c>
      <c r="B73" t="s">
        <v>72</v>
      </c>
    </row>
    <row r="74" spans="1:2" x14ac:dyDescent="0.25">
      <c r="A74" s="1">
        <v>75</v>
      </c>
      <c r="B74" t="s">
        <v>73</v>
      </c>
    </row>
    <row r="75" spans="1:2" x14ac:dyDescent="0.25">
      <c r="A75" s="1">
        <v>76</v>
      </c>
      <c r="B75" t="s">
        <v>74</v>
      </c>
    </row>
    <row r="76" spans="1:2" x14ac:dyDescent="0.25">
      <c r="A76" s="1">
        <v>77</v>
      </c>
      <c r="B76" t="s">
        <v>75</v>
      </c>
    </row>
    <row r="77" spans="1:2" x14ac:dyDescent="0.25">
      <c r="A77" s="1">
        <v>78</v>
      </c>
      <c r="B77" t="s">
        <v>76</v>
      </c>
    </row>
    <row r="78" spans="1:2" x14ac:dyDescent="0.25">
      <c r="A78" s="1">
        <v>79</v>
      </c>
      <c r="B78" t="s">
        <v>77</v>
      </c>
    </row>
    <row r="79" spans="1:2" x14ac:dyDescent="0.25">
      <c r="A79" s="1">
        <v>80</v>
      </c>
      <c r="B79" t="s">
        <v>78</v>
      </c>
    </row>
    <row r="80" spans="1:2" x14ac:dyDescent="0.25">
      <c r="A80" s="1">
        <v>81</v>
      </c>
      <c r="B80" t="s">
        <v>79</v>
      </c>
    </row>
    <row r="81" spans="1:2" x14ac:dyDescent="0.25">
      <c r="A81" s="1">
        <v>82</v>
      </c>
      <c r="B81" t="s">
        <v>80</v>
      </c>
    </row>
    <row r="82" spans="1:2" x14ac:dyDescent="0.25">
      <c r="A82" s="1">
        <v>83</v>
      </c>
      <c r="B82" t="s">
        <v>81</v>
      </c>
    </row>
    <row r="83" spans="1:2" x14ac:dyDescent="0.25">
      <c r="A83" s="1">
        <v>84</v>
      </c>
      <c r="B83" t="s">
        <v>82</v>
      </c>
    </row>
    <row r="84" spans="1:2" x14ac:dyDescent="0.25">
      <c r="A84" s="1">
        <v>85</v>
      </c>
      <c r="B84" t="s">
        <v>83</v>
      </c>
    </row>
    <row r="85" spans="1:2" x14ac:dyDescent="0.25">
      <c r="A85" s="1">
        <v>86</v>
      </c>
      <c r="B85" t="s">
        <v>84</v>
      </c>
    </row>
    <row r="86" spans="1:2" x14ac:dyDescent="0.25">
      <c r="A86" s="1">
        <v>87</v>
      </c>
      <c r="B86" t="s">
        <v>85</v>
      </c>
    </row>
    <row r="87" spans="1:2" x14ac:dyDescent="0.25">
      <c r="A87" s="1">
        <v>88</v>
      </c>
      <c r="B87" t="s">
        <v>86</v>
      </c>
    </row>
    <row r="88" spans="1:2" x14ac:dyDescent="0.25">
      <c r="A88" s="1">
        <v>89</v>
      </c>
      <c r="B88" t="s">
        <v>87</v>
      </c>
    </row>
    <row r="89" spans="1:2" x14ac:dyDescent="0.25">
      <c r="A89" s="1">
        <v>90</v>
      </c>
      <c r="B89" t="s">
        <v>88</v>
      </c>
    </row>
    <row r="90" spans="1:2" x14ac:dyDescent="0.25">
      <c r="A90" s="1">
        <v>91</v>
      </c>
      <c r="B90" t="s">
        <v>89</v>
      </c>
    </row>
    <row r="91" spans="1:2" x14ac:dyDescent="0.25">
      <c r="A91" s="1">
        <v>92</v>
      </c>
      <c r="B91" t="s">
        <v>90</v>
      </c>
    </row>
    <row r="92" spans="1:2" x14ac:dyDescent="0.25">
      <c r="A92" s="1">
        <v>93</v>
      </c>
      <c r="B92" t="s">
        <v>91</v>
      </c>
    </row>
    <row r="93" spans="1:2" x14ac:dyDescent="0.25">
      <c r="A93" s="1">
        <v>94</v>
      </c>
      <c r="B93" t="s">
        <v>92</v>
      </c>
    </row>
    <row r="94" spans="1:2" x14ac:dyDescent="0.25">
      <c r="A94" s="1">
        <v>95</v>
      </c>
      <c r="B94" t="s">
        <v>93</v>
      </c>
    </row>
    <row r="95" spans="1:2" x14ac:dyDescent="0.25">
      <c r="A95" s="1">
        <v>96</v>
      </c>
      <c r="B95" t="s">
        <v>94</v>
      </c>
    </row>
    <row r="96" spans="1:2" x14ac:dyDescent="0.25">
      <c r="A96" s="1">
        <v>97</v>
      </c>
      <c r="B96" t="s">
        <v>95</v>
      </c>
    </row>
    <row r="97" spans="1:2" x14ac:dyDescent="0.25">
      <c r="A97" s="1">
        <v>98</v>
      </c>
      <c r="B97" t="s">
        <v>96</v>
      </c>
    </row>
    <row r="98" spans="1:2" x14ac:dyDescent="0.25">
      <c r="A98" s="1">
        <v>99</v>
      </c>
      <c r="B98" t="s">
        <v>97</v>
      </c>
    </row>
    <row r="99" spans="1:2" x14ac:dyDescent="0.25">
      <c r="A99" s="1">
        <v>100</v>
      </c>
      <c r="B99" t="s">
        <v>98</v>
      </c>
    </row>
    <row r="100" spans="1:2" x14ac:dyDescent="0.25">
      <c r="A100" s="1">
        <v>101</v>
      </c>
      <c r="B100" t="s">
        <v>99</v>
      </c>
    </row>
    <row r="101" spans="1:2" x14ac:dyDescent="0.25">
      <c r="A101" s="1">
        <v>102</v>
      </c>
      <c r="B101" t="s">
        <v>100</v>
      </c>
    </row>
    <row r="102" spans="1:2" x14ac:dyDescent="0.25">
      <c r="A102" s="1">
        <v>103</v>
      </c>
      <c r="B102" t="s">
        <v>101</v>
      </c>
    </row>
    <row r="103" spans="1:2" x14ac:dyDescent="0.25">
      <c r="A103" s="1">
        <v>104</v>
      </c>
      <c r="B103" t="s">
        <v>102</v>
      </c>
    </row>
    <row r="104" spans="1:2" x14ac:dyDescent="0.25">
      <c r="A104" s="1">
        <v>105</v>
      </c>
      <c r="B104" t="s">
        <v>103</v>
      </c>
    </row>
    <row r="105" spans="1:2" x14ac:dyDescent="0.25">
      <c r="A105" s="1">
        <v>106</v>
      </c>
      <c r="B105" t="s">
        <v>104</v>
      </c>
    </row>
    <row r="106" spans="1:2" x14ac:dyDescent="0.25">
      <c r="A106" s="1">
        <v>107</v>
      </c>
      <c r="B106" t="s">
        <v>105</v>
      </c>
    </row>
    <row r="107" spans="1:2" x14ac:dyDescent="0.25">
      <c r="A107" s="1">
        <v>108</v>
      </c>
      <c r="B107" t="s">
        <v>106</v>
      </c>
    </row>
    <row r="108" spans="1:2" x14ac:dyDescent="0.25">
      <c r="A108" s="1">
        <v>109</v>
      </c>
      <c r="B108" t="s">
        <v>107</v>
      </c>
    </row>
    <row r="109" spans="1:2" x14ac:dyDescent="0.25">
      <c r="A109" s="1">
        <v>110</v>
      </c>
      <c r="B109" t="s">
        <v>108</v>
      </c>
    </row>
    <row r="110" spans="1:2" x14ac:dyDescent="0.25">
      <c r="A110" s="1">
        <v>111</v>
      </c>
      <c r="B110" t="s">
        <v>109</v>
      </c>
    </row>
    <row r="111" spans="1:2" x14ac:dyDescent="0.25">
      <c r="A111" s="1">
        <v>112</v>
      </c>
      <c r="B111" t="s">
        <v>110</v>
      </c>
    </row>
    <row r="112" spans="1:2" x14ac:dyDescent="0.25">
      <c r="A112" s="1">
        <v>113</v>
      </c>
      <c r="B112" t="s">
        <v>111</v>
      </c>
    </row>
    <row r="113" spans="1:2" x14ac:dyDescent="0.25">
      <c r="A113" s="1">
        <v>114</v>
      </c>
      <c r="B113" t="s">
        <v>112</v>
      </c>
    </row>
    <row r="114" spans="1:2" x14ac:dyDescent="0.25">
      <c r="A114" s="1">
        <v>115</v>
      </c>
      <c r="B114" t="s">
        <v>113</v>
      </c>
    </row>
    <row r="115" spans="1:2" x14ac:dyDescent="0.25">
      <c r="A115" s="1">
        <v>116</v>
      </c>
      <c r="B115" t="s">
        <v>114</v>
      </c>
    </row>
    <row r="116" spans="1:2" x14ac:dyDescent="0.25">
      <c r="A116" s="1">
        <v>117</v>
      </c>
      <c r="B116" t="s">
        <v>115</v>
      </c>
    </row>
    <row r="117" spans="1:2" x14ac:dyDescent="0.25">
      <c r="A117" s="1">
        <v>118</v>
      </c>
      <c r="B117" t="s">
        <v>116</v>
      </c>
    </row>
    <row r="118" spans="1:2" x14ac:dyDescent="0.25">
      <c r="A118" s="1">
        <v>119</v>
      </c>
      <c r="B118" t="s">
        <v>117</v>
      </c>
    </row>
    <row r="119" spans="1:2" x14ac:dyDescent="0.25">
      <c r="A119" s="1">
        <v>120</v>
      </c>
      <c r="B119" t="s">
        <v>118</v>
      </c>
    </row>
    <row r="120" spans="1:2" x14ac:dyDescent="0.25">
      <c r="A120" s="1">
        <v>121</v>
      </c>
      <c r="B120" t="s">
        <v>119</v>
      </c>
    </row>
    <row r="121" spans="1:2" x14ac:dyDescent="0.25">
      <c r="A121" s="1">
        <v>122</v>
      </c>
      <c r="B121" t="s">
        <v>120</v>
      </c>
    </row>
    <row r="122" spans="1:2" x14ac:dyDescent="0.25">
      <c r="A122" s="1">
        <v>123</v>
      </c>
      <c r="B122" t="s">
        <v>121</v>
      </c>
    </row>
    <row r="123" spans="1:2" x14ac:dyDescent="0.25">
      <c r="A123" s="1">
        <v>124</v>
      </c>
      <c r="B123" t="s">
        <v>122</v>
      </c>
    </row>
    <row r="124" spans="1:2" x14ac:dyDescent="0.25">
      <c r="A124" s="1">
        <v>125</v>
      </c>
      <c r="B124" t="s">
        <v>123</v>
      </c>
    </row>
    <row r="125" spans="1:2" x14ac:dyDescent="0.25">
      <c r="A125" s="1">
        <v>126</v>
      </c>
      <c r="B125" t="s">
        <v>124</v>
      </c>
    </row>
    <row r="126" spans="1:2" x14ac:dyDescent="0.25">
      <c r="A126" s="1">
        <v>127</v>
      </c>
      <c r="B126" t="s">
        <v>125</v>
      </c>
    </row>
    <row r="127" spans="1:2" x14ac:dyDescent="0.25">
      <c r="A127" s="1">
        <v>128</v>
      </c>
      <c r="B127" t="s">
        <v>126</v>
      </c>
    </row>
    <row r="128" spans="1:2" x14ac:dyDescent="0.25">
      <c r="A128" s="1">
        <v>129</v>
      </c>
      <c r="B128" t="s">
        <v>127</v>
      </c>
    </row>
    <row r="129" spans="1:2" x14ac:dyDescent="0.25">
      <c r="A129" s="1">
        <v>130</v>
      </c>
      <c r="B129" t="s">
        <v>128</v>
      </c>
    </row>
    <row r="130" spans="1:2" x14ac:dyDescent="0.25">
      <c r="A130" s="1">
        <v>131</v>
      </c>
      <c r="B130" t="s">
        <v>129</v>
      </c>
    </row>
    <row r="131" spans="1:2" x14ac:dyDescent="0.25">
      <c r="A131" s="1">
        <v>132</v>
      </c>
      <c r="B131" t="s">
        <v>130</v>
      </c>
    </row>
    <row r="132" spans="1:2" x14ac:dyDescent="0.25">
      <c r="A132" s="1">
        <v>133</v>
      </c>
      <c r="B132" t="s">
        <v>131</v>
      </c>
    </row>
    <row r="133" spans="1:2" x14ac:dyDescent="0.25">
      <c r="A133" s="1">
        <v>134</v>
      </c>
      <c r="B133" t="s">
        <v>132</v>
      </c>
    </row>
    <row r="134" spans="1:2" x14ac:dyDescent="0.25">
      <c r="A134" s="1">
        <v>135</v>
      </c>
      <c r="B134" t="s">
        <v>133</v>
      </c>
    </row>
    <row r="135" spans="1:2" x14ac:dyDescent="0.25">
      <c r="A135" s="1">
        <v>136</v>
      </c>
      <c r="B135" t="s">
        <v>134</v>
      </c>
    </row>
    <row r="136" spans="1:2" x14ac:dyDescent="0.25">
      <c r="A136" s="1">
        <v>137</v>
      </c>
      <c r="B136" t="s">
        <v>135</v>
      </c>
    </row>
    <row r="137" spans="1:2" x14ac:dyDescent="0.25">
      <c r="A137" s="1">
        <v>138</v>
      </c>
      <c r="B137" t="s">
        <v>136</v>
      </c>
    </row>
    <row r="138" spans="1:2" x14ac:dyDescent="0.25">
      <c r="A138" s="1">
        <v>139</v>
      </c>
      <c r="B138" t="s">
        <v>137</v>
      </c>
    </row>
    <row r="139" spans="1:2" x14ac:dyDescent="0.25">
      <c r="A139" s="1">
        <v>140</v>
      </c>
      <c r="B139" t="s">
        <v>138</v>
      </c>
    </row>
    <row r="140" spans="1:2" x14ac:dyDescent="0.25">
      <c r="A140" s="1">
        <v>141</v>
      </c>
      <c r="B140" t="s">
        <v>139</v>
      </c>
    </row>
    <row r="141" spans="1:2" x14ac:dyDescent="0.25">
      <c r="A141" s="1">
        <v>142</v>
      </c>
      <c r="B141" t="s">
        <v>140</v>
      </c>
    </row>
    <row r="142" spans="1:2" x14ac:dyDescent="0.25">
      <c r="A142" s="1">
        <v>143</v>
      </c>
      <c r="B142" t="s">
        <v>141</v>
      </c>
    </row>
    <row r="143" spans="1:2" x14ac:dyDescent="0.25">
      <c r="A143" s="1">
        <v>144</v>
      </c>
      <c r="B143" t="s">
        <v>142</v>
      </c>
    </row>
    <row r="144" spans="1:2" x14ac:dyDescent="0.25">
      <c r="A144" s="1">
        <v>145</v>
      </c>
      <c r="B144" t="s">
        <v>143</v>
      </c>
    </row>
    <row r="145" spans="1:2" x14ac:dyDescent="0.25">
      <c r="A145" s="1">
        <v>146</v>
      </c>
      <c r="B145" t="s">
        <v>144</v>
      </c>
    </row>
    <row r="146" spans="1:2" x14ac:dyDescent="0.25">
      <c r="A146" s="1">
        <v>147</v>
      </c>
      <c r="B146" t="s">
        <v>145</v>
      </c>
    </row>
    <row r="147" spans="1:2" x14ac:dyDescent="0.25">
      <c r="A147" s="1">
        <v>148</v>
      </c>
      <c r="B147" t="s">
        <v>146</v>
      </c>
    </row>
    <row r="148" spans="1:2" x14ac:dyDescent="0.25">
      <c r="A148" s="1">
        <v>149</v>
      </c>
      <c r="B148" t="s">
        <v>147</v>
      </c>
    </row>
    <row r="149" spans="1:2" x14ac:dyDescent="0.25">
      <c r="A149" s="1">
        <v>150</v>
      </c>
      <c r="B149" t="s">
        <v>148</v>
      </c>
    </row>
    <row r="150" spans="1:2" x14ac:dyDescent="0.25">
      <c r="A150" s="1">
        <v>151</v>
      </c>
      <c r="B150" t="s">
        <v>149</v>
      </c>
    </row>
    <row r="151" spans="1:2" x14ac:dyDescent="0.25">
      <c r="A151" s="1">
        <v>152</v>
      </c>
      <c r="B151" t="s">
        <v>150</v>
      </c>
    </row>
    <row r="152" spans="1:2" x14ac:dyDescent="0.25">
      <c r="A152" s="1">
        <v>153</v>
      </c>
      <c r="B152" t="s">
        <v>151</v>
      </c>
    </row>
    <row r="153" spans="1:2" x14ac:dyDescent="0.25">
      <c r="A153" s="1">
        <v>155</v>
      </c>
      <c r="B153" t="s">
        <v>152</v>
      </c>
    </row>
    <row r="154" spans="1:2" x14ac:dyDescent="0.25">
      <c r="A154" s="1">
        <v>156</v>
      </c>
      <c r="B154" t="s">
        <v>153</v>
      </c>
    </row>
    <row r="155" spans="1:2" x14ac:dyDescent="0.25">
      <c r="A155" s="1">
        <v>157</v>
      </c>
      <c r="B155" t="s">
        <v>154</v>
      </c>
    </row>
    <row r="156" spans="1:2" x14ac:dyDescent="0.25">
      <c r="A156" s="1">
        <v>158</v>
      </c>
      <c r="B156" t="s">
        <v>155</v>
      </c>
    </row>
    <row r="157" spans="1:2" x14ac:dyDescent="0.25">
      <c r="A157" s="1">
        <v>159</v>
      </c>
      <c r="B157" t="s">
        <v>156</v>
      </c>
    </row>
    <row r="158" spans="1:2" x14ac:dyDescent="0.25">
      <c r="A158" s="1">
        <v>160</v>
      </c>
      <c r="B158" t="s">
        <v>157</v>
      </c>
    </row>
    <row r="159" spans="1:2" x14ac:dyDescent="0.25">
      <c r="A159" s="1">
        <v>161</v>
      </c>
      <c r="B159" t="s">
        <v>158</v>
      </c>
    </row>
    <row r="160" spans="1:2" x14ac:dyDescent="0.25">
      <c r="A160" s="1">
        <v>162</v>
      </c>
      <c r="B160" t="s">
        <v>159</v>
      </c>
    </row>
    <row r="161" spans="1:2" x14ac:dyDescent="0.25">
      <c r="A161" s="1">
        <v>163</v>
      </c>
      <c r="B161" t="s">
        <v>160</v>
      </c>
    </row>
    <row r="162" spans="1:2" x14ac:dyDescent="0.25">
      <c r="A162" s="1">
        <v>164</v>
      </c>
      <c r="B162" t="s">
        <v>161</v>
      </c>
    </row>
    <row r="163" spans="1:2" x14ac:dyDescent="0.25">
      <c r="A163" s="1">
        <v>165</v>
      </c>
      <c r="B163" t="s">
        <v>162</v>
      </c>
    </row>
    <row r="164" spans="1:2" x14ac:dyDescent="0.25">
      <c r="A164" s="1">
        <v>166</v>
      </c>
      <c r="B164" t="s">
        <v>163</v>
      </c>
    </row>
    <row r="165" spans="1:2" x14ac:dyDescent="0.25">
      <c r="A165" s="1">
        <v>167</v>
      </c>
      <c r="B165" t="s">
        <v>164</v>
      </c>
    </row>
    <row r="166" spans="1:2" x14ac:dyDescent="0.25">
      <c r="A166" s="1">
        <v>168</v>
      </c>
      <c r="B166" t="s">
        <v>165</v>
      </c>
    </row>
    <row r="167" spans="1:2" x14ac:dyDescent="0.25">
      <c r="A167" s="1">
        <v>169</v>
      </c>
      <c r="B167" t="s">
        <v>166</v>
      </c>
    </row>
    <row r="168" spans="1:2" x14ac:dyDescent="0.25">
      <c r="A168" s="1">
        <v>170</v>
      </c>
      <c r="B168" t="s">
        <v>167</v>
      </c>
    </row>
    <row r="169" spans="1:2" x14ac:dyDescent="0.25">
      <c r="A169" s="1">
        <v>171</v>
      </c>
      <c r="B169" t="s">
        <v>168</v>
      </c>
    </row>
    <row r="170" spans="1:2" x14ac:dyDescent="0.25">
      <c r="A170" s="1">
        <v>172</v>
      </c>
      <c r="B170" t="s">
        <v>169</v>
      </c>
    </row>
    <row r="171" spans="1:2" x14ac:dyDescent="0.25">
      <c r="A171" s="1">
        <v>173</v>
      </c>
      <c r="B171" t="s">
        <v>170</v>
      </c>
    </row>
    <row r="172" spans="1:2" x14ac:dyDescent="0.25">
      <c r="A172" s="1">
        <v>174</v>
      </c>
      <c r="B172" t="s">
        <v>171</v>
      </c>
    </row>
    <row r="173" spans="1:2" x14ac:dyDescent="0.25">
      <c r="A173" s="1">
        <v>175</v>
      </c>
      <c r="B173" t="s">
        <v>172</v>
      </c>
    </row>
    <row r="174" spans="1:2" x14ac:dyDescent="0.25">
      <c r="A174" s="1">
        <v>176</v>
      </c>
      <c r="B174" t="s">
        <v>173</v>
      </c>
    </row>
    <row r="175" spans="1:2" x14ac:dyDescent="0.25">
      <c r="A175" s="1">
        <v>177</v>
      </c>
      <c r="B175" t="s">
        <v>174</v>
      </c>
    </row>
    <row r="176" spans="1:2" x14ac:dyDescent="0.25">
      <c r="A176" s="1">
        <v>178</v>
      </c>
      <c r="B176" t="s">
        <v>175</v>
      </c>
    </row>
    <row r="177" spans="1:2" x14ac:dyDescent="0.25">
      <c r="A177" s="1">
        <v>179</v>
      </c>
      <c r="B177" t="s">
        <v>176</v>
      </c>
    </row>
    <row r="178" spans="1:2" x14ac:dyDescent="0.25">
      <c r="A178" s="1">
        <v>180</v>
      </c>
      <c r="B178" t="s">
        <v>177</v>
      </c>
    </row>
    <row r="179" spans="1:2" x14ac:dyDescent="0.25">
      <c r="A179" s="1">
        <v>181</v>
      </c>
      <c r="B179" t="s">
        <v>178</v>
      </c>
    </row>
    <row r="180" spans="1:2" x14ac:dyDescent="0.25">
      <c r="A180" s="1">
        <v>182</v>
      </c>
      <c r="B180" t="s">
        <v>179</v>
      </c>
    </row>
    <row r="181" spans="1:2" x14ac:dyDescent="0.25">
      <c r="A181" s="1">
        <v>183</v>
      </c>
      <c r="B181" t="s">
        <v>180</v>
      </c>
    </row>
    <row r="182" spans="1:2" x14ac:dyDescent="0.25">
      <c r="A182" s="1">
        <v>184</v>
      </c>
      <c r="B182" t="s">
        <v>181</v>
      </c>
    </row>
    <row r="183" spans="1:2" x14ac:dyDescent="0.25">
      <c r="A183" s="1">
        <v>185</v>
      </c>
      <c r="B183" t="s">
        <v>182</v>
      </c>
    </row>
    <row r="184" spans="1:2" x14ac:dyDescent="0.25">
      <c r="A184" s="1">
        <v>186</v>
      </c>
      <c r="B184" t="s">
        <v>183</v>
      </c>
    </row>
    <row r="185" spans="1:2" x14ac:dyDescent="0.25">
      <c r="A185" s="1">
        <v>187</v>
      </c>
      <c r="B185" t="s">
        <v>184</v>
      </c>
    </row>
    <row r="186" spans="1:2" x14ac:dyDescent="0.25">
      <c r="A186" s="1">
        <v>188</v>
      </c>
      <c r="B186" t="s">
        <v>185</v>
      </c>
    </row>
    <row r="187" spans="1:2" x14ac:dyDescent="0.25">
      <c r="A187" s="1">
        <v>189</v>
      </c>
      <c r="B187" t="s">
        <v>186</v>
      </c>
    </row>
    <row r="188" spans="1:2" x14ac:dyDescent="0.25">
      <c r="A188" s="1">
        <v>190</v>
      </c>
      <c r="B188" t="s">
        <v>187</v>
      </c>
    </row>
    <row r="189" spans="1:2" x14ac:dyDescent="0.25">
      <c r="A189" s="1">
        <v>191</v>
      </c>
      <c r="B189" t="s">
        <v>188</v>
      </c>
    </row>
    <row r="190" spans="1:2" x14ac:dyDescent="0.25">
      <c r="A190" s="1">
        <v>192</v>
      </c>
      <c r="B190" t="s">
        <v>189</v>
      </c>
    </row>
    <row r="191" spans="1:2" x14ac:dyDescent="0.25">
      <c r="A191" s="1">
        <v>193</v>
      </c>
      <c r="B191" t="s">
        <v>190</v>
      </c>
    </row>
    <row r="192" spans="1:2" x14ac:dyDescent="0.25">
      <c r="A192" s="1">
        <v>195</v>
      </c>
      <c r="B192" t="s">
        <v>191</v>
      </c>
    </row>
    <row r="193" spans="1:2" x14ac:dyDescent="0.25">
      <c r="A193" s="1">
        <v>196</v>
      </c>
      <c r="B193" t="s">
        <v>192</v>
      </c>
    </row>
    <row r="194" spans="1:2" x14ac:dyDescent="0.25">
      <c r="A194" s="1">
        <v>197</v>
      </c>
      <c r="B194" t="s">
        <v>193</v>
      </c>
    </row>
    <row r="195" spans="1:2" x14ac:dyDescent="0.25">
      <c r="A195" s="1">
        <v>198</v>
      </c>
      <c r="B195" t="s">
        <v>194</v>
      </c>
    </row>
    <row r="196" spans="1:2" x14ac:dyDescent="0.25">
      <c r="A196" s="1">
        <v>199</v>
      </c>
      <c r="B196" t="s">
        <v>195</v>
      </c>
    </row>
    <row r="197" spans="1:2" x14ac:dyDescent="0.25">
      <c r="A197" s="1">
        <v>200</v>
      </c>
      <c r="B197" t="s">
        <v>196</v>
      </c>
    </row>
    <row r="198" spans="1:2" x14ac:dyDescent="0.25">
      <c r="A198" s="1">
        <v>201</v>
      </c>
      <c r="B198" t="s">
        <v>197</v>
      </c>
    </row>
    <row r="199" spans="1:2" x14ac:dyDescent="0.25">
      <c r="A199" s="1">
        <v>202</v>
      </c>
      <c r="B199" t="s">
        <v>198</v>
      </c>
    </row>
    <row r="200" spans="1:2" x14ac:dyDescent="0.25">
      <c r="A200" s="1">
        <v>203</v>
      </c>
      <c r="B200" t="s">
        <v>199</v>
      </c>
    </row>
    <row r="201" spans="1:2" x14ac:dyDescent="0.25">
      <c r="A201" s="1">
        <v>204</v>
      </c>
      <c r="B201" t="s">
        <v>200</v>
      </c>
    </row>
    <row r="202" spans="1:2" x14ac:dyDescent="0.25">
      <c r="A202" s="1">
        <v>205</v>
      </c>
      <c r="B202" t="s">
        <v>201</v>
      </c>
    </row>
    <row r="203" spans="1:2" x14ac:dyDescent="0.25">
      <c r="A203" s="1">
        <v>206</v>
      </c>
      <c r="B203" t="s">
        <v>202</v>
      </c>
    </row>
    <row r="204" spans="1:2" x14ac:dyDescent="0.25">
      <c r="A204" s="1">
        <v>207</v>
      </c>
      <c r="B204" t="s">
        <v>203</v>
      </c>
    </row>
    <row r="205" spans="1:2" x14ac:dyDescent="0.25">
      <c r="A205" s="1">
        <v>208</v>
      </c>
      <c r="B205" t="s">
        <v>204</v>
      </c>
    </row>
    <row r="206" spans="1:2" x14ac:dyDescent="0.25">
      <c r="A206" s="1">
        <v>210</v>
      </c>
      <c r="B206" t="s">
        <v>205</v>
      </c>
    </row>
    <row r="207" spans="1:2" x14ac:dyDescent="0.25">
      <c r="A207" s="1">
        <v>211</v>
      </c>
      <c r="B207" t="s">
        <v>206</v>
      </c>
    </row>
    <row r="208" spans="1:2" x14ac:dyDescent="0.25">
      <c r="A208" s="1">
        <v>212</v>
      </c>
      <c r="B208" t="s">
        <v>207</v>
      </c>
    </row>
    <row r="209" spans="1:2" x14ac:dyDescent="0.25">
      <c r="A209" s="1">
        <v>213</v>
      </c>
      <c r="B209" t="s">
        <v>208</v>
      </c>
    </row>
    <row r="210" spans="1:2" x14ac:dyDescent="0.25">
      <c r="A210" s="1">
        <v>214</v>
      </c>
      <c r="B210" t="s">
        <v>209</v>
      </c>
    </row>
    <row r="211" spans="1:2" x14ac:dyDescent="0.25">
      <c r="A211" s="1">
        <v>215</v>
      </c>
      <c r="B211" t="s">
        <v>210</v>
      </c>
    </row>
    <row r="212" spans="1:2" x14ac:dyDescent="0.25">
      <c r="A212" s="1">
        <v>216</v>
      </c>
      <c r="B212" t="s">
        <v>211</v>
      </c>
    </row>
    <row r="213" spans="1:2" x14ac:dyDescent="0.25">
      <c r="A213" s="1">
        <v>217</v>
      </c>
      <c r="B213" t="s">
        <v>212</v>
      </c>
    </row>
    <row r="214" spans="1:2" x14ac:dyDescent="0.25">
      <c r="A214" s="1">
        <v>218</v>
      </c>
      <c r="B214" t="s">
        <v>213</v>
      </c>
    </row>
    <row r="215" spans="1:2" x14ac:dyDescent="0.25">
      <c r="A215" s="1">
        <v>219</v>
      </c>
      <c r="B215" t="s">
        <v>214</v>
      </c>
    </row>
    <row r="216" spans="1:2" x14ac:dyDescent="0.25">
      <c r="A216" s="1">
        <v>220</v>
      </c>
      <c r="B216" t="s">
        <v>215</v>
      </c>
    </row>
    <row r="217" spans="1:2" x14ac:dyDescent="0.25">
      <c r="A217" s="1">
        <v>221</v>
      </c>
      <c r="B217" t="s">
        <v>216</v>
      </c>
    </row>
    <row r="218" spans="1:2" x14ac:dyDescent="0.25">
      <c r="A218" s="1">
        <v>222</v>
      </c>
      <c r="B218" t="s">
        <v>217</v>
      </c>
    </row>
    <row r="219" spans="1:2" x14ac:dyDescent="0.25">
      <c r="A219" s="1">
        <v>223</v>
      </c>
      <c r="B219" t="s">
        <v>218</v>
      </c>
    </row>
    <row r="220" spans="1:2" x14ac:dyDescent="0.25">
      <c r="A220" s="1">
        <v>224</v>
      </c>
      <c r="B220" t="s">
        <v>219</v>
      </c>
    </row>
    <row r="221" spans="1:2" x14ac:dyDescent="0.25">
      <c r="A221" s="1">
        <v>225</v>
      </c>
      <c r="B221" t="s">
        <v>220</v>
      </c>
    </row>
    <row r="222" spans="1:2" x14ac:dyDescent="0.25">
      <c r="A222" s="1">
        <v>226</v>
      </c>
      <c r="B222" t="s">
        <v>221</v>
      </c>
    </row>
    <row r="223" spans="1:2" x14ac:dyDescent="0.25">
      <c r="A223" s="1">
        <v>228</v>
      </c>
      <c r="B223" t="s">
        <v>222</v>
      </c>
    </row>
    <row r="224" spans="1:2" x14ac:dyDescent="0.25">
      <c r="A224" s="1">
        <v>229</v>
      </c>
      <c r="B224" t="s">
        <v>223</v>
      </c>
    </row>
    <row r="225" spans="1:2" x14ac:dyDescent="0.25">
      <c r="A225" s="1">
        <v>230</v>
      </c>
      <c r="B225" t="s">
        <v>224</v>
      </c>
    </row>
    <row r="226" spans="1:2" x14ac:dyDescent="0.25">
      <c r="A226" s="1">
        <v>231</v>
      </c>
      <c r="B226" t="s">
        <v>225</v>
      </c>
    </row>
    <row r="227" spans="1:2" x14ac:dyDescent="0.25">
      <c r="A227" s="1">
        <v>232</v>
      </c>
      <c r="B227" t="s">
        <v>226</v>
      </c>
    </row>
    <row r="228" spans="1:2" x14ac:dyDescent="0.25">
      <c r="A228" s="1">
        <v>233</v>
      </c>
      <c r="B228" t="s">
        <v>227</v>
      </c>
    </row>
    <row r="229" spans="1:2" x14ac:dyDescent="0.25">
      <c r="A229" s="1">
        <v>234</v>
      </c>
      <c r="B229" t="s">
        <v>228</v>
      </c>
    </row>
    <row r="230" spans="1:2" x14ac:dyDescent="0.25">
      <c r="A230" s="1">
        <v>235</v>
      </c>
      <c r="B230" t="s">
        <v>229</v>
      </c>
    </row>
    <row r="231" spans="1:2" x14ac:dyDescent="0.25">
      <c r="A231" s="1">
        <v>236</v>
      </c>
      <c r="B231" t="s">
        <v>230</v>
      </c>
    </row>
    <row r="232" spans="1:2" x14ac:dyDescent="0.25">
      <c r="A232" s="1">
        <v>237</v>
      </c>
      <c r="B232" t="s">
        <v>231</v>
      </c>
    </row>
    <row r="233" spans="1:2" x14ac:dyDescent="0.25">
      <c r="A233" s="1">
        <v>238</v>
      </c>
      <c r="B233" t="s">
        <v>232</v>
      </c>
    </row>
    <row r="234" spans="1:2" x14ac:dyDescent="0.25">
      <c r="A234" s="1">
        <v>239</v>
      </c>
      <c r="B234" t="s">
        <v>233</v>
      </c>
    </row>
    <row r="235" spans="1:2" x14ac:dyDescent="0.25">
      <c r="A235" s="1">
        <v>240</v>
      </c>
      <c r="B235" t="s">
        <v>234</v>
      </c>
    </row>
    <row r="236" spans="1:2" x14ac:dyDescent="0.25">
      <c r="A236" s="1">
        <v>241</v>
      </c>
      <c r="B236" t="s">
        <v>235</v>
      </c>
    </row>
    <row r="237" spans="1:2" x14ac:dyDescent="0.25">
      <c r="A237" s="1">
        <v>242</v>
      </c>
      <c r="B237" t="s">
        <v>236</v>
      </c>
    </row>
    <row r="238" spans="1:2" x14ac:dyDescent="0.25">
      <c r="A238" s="1">
        <v>243</v>
      </c>
      <c r="B238" t="s">
        <v>237</v>
      </c>
    </row>
    <row r="239" spans="1:2" x14ac:dyDescent="0.25">
      <c r="A239" s="1">
        <v>244</v>
      </c>
      <c r="B239" t="s">
        <v>238</v>
      </c>
    </row>
    <row r="240" spans="1:2" x14ac:dyDescent="0.25">
      <c r="A240" s="1">
        <v>245</v>
      </c>
      <c r="B240" t="s">
        <v>239</v>
      </c>
    </row>
    <row r="241" spans="1:2" x14ac:dyDescent="0.25">
      <c r="A241" s="1">
        <v>246</v>
      </c>
      <c r="B241" t="s">
        <v>240</v>
      </c>
    </row>
    <row r="242" spans="1:2" x14ac:dyDescent="0.25">
      <c r="A242" s="1">
        <v>247</v>
      </c>
      <c r="B242" t="s">
        <v>241</v>
      </c>
    </row>
    <row r="243" spans="1:2" x14ac:dyDescent="0.25">
      <c r="A243" s="1">
        <v>248</v>
      </c>
      <c r="B243" t="s">
        <v>242</v>
      </c>
    </row>
    <row r="244" spans="1:2" x14ac:dyDescent="0.25">
      <c r="A244" s="1">
        <v>249</v>
      </c>
      <c r="B244" t="s">
        <v>243</v>
      </c>
    </row>
    <row r="245" spans="1:2" x14ac:dyDescent="0.25">
      <c r="A245" s="1">
        <v>250</v>
      </c>
      <c r="B245" t="s">
        <v>244</v>
      </c>
    </row>
    <row r="246" spans="1:2" x14ac:dyDescent="0.25">
      <c r="A246" s="1">
        <v>251</v>
      </c>
      <c r="B246" t="s">
        <v>245</v>
      </c>
    </row>
    <row r="247" spans="1:2" x14ac:dyDescent="0.25">
      <c r="A247" s="1">
        <v>252</v>
      </c>
      <c r="B247" t="s">
        <v>246</v>
      </c>
    </row>
    <row r="248" spans="1:2" x14ac:dyDescent="0.25">
      <c r="A248" s="1">
        <v>253</v>
      </c>
      <c r="B248" t="s">
        <v>247</v>
      </c>
    </row>
    <row r="249" spans="1:2" x14ac:dyDescent="0.25">
      <c r="A249" s="1">
        <v>254</v>
      </c>
      <c r="B249" t="s">
        <v>248</v>
      </c>
    </row>
    <row r="250" spans="1:2" x14ac:dyDescent="0.25">
      <c r="A250" s="1">
        <v>255</v>
      </c>
      <c r="B250" t="s">
        <v>249</v>
      </c>
    </row>
    <row r="251" spans="1:2" x14ac:dyDescent="0.25">
      <c r="A251" s="1">
        <v>256</v>
      </c>
      <c r="B251" t="s">
        <v>250</v>
      </c>
    </row>
    <row r="252" spans="1:2" x14ac:dyDescent="0.25">
      <c r="A252" s="1">
        <v>257</v>
      </c>
      <c r="B252" t="s">
        <v>251</v>
      </c>
    </row>
    <row r="253" spans="1:2" x14ac:dyDescent="0.25">
      <c r="A253" s="1">
        <v>258</v>
      </c>
      <c r="B253" t="s">
        <v>252</v>
      </c>
    </row>
    <row r="254" spans="1:2" x14ac:dyDescent="0.25">
      <c r="A254" s="1">
        <v>259</v>
      </c>
      <c r="B254" t="s">
        <v>253</v>
      </c>
    </row>
    <row r="255" spans="1:2" x14ac:dyDescent="0.25">
      <c r="A255" s="1">
        <v>260</v>
      </c>
      <c r="B255" t="s">
        <v>254</v>
      </c>
    </row>
    <row r="256" spans="1:2" x14ac:dyDescent="0.25">
      <c r="A256" s="1">
        <v>261</v>
      </c>
      <c r="B256" t="s">
        <v>255</v>
      </c>
    </row>
    <row r="257" spans="1:2" x14ac:dyDescent="0.25">
      <c r="A257" s="1">
        <v>262</v>
      </c>
      <c r="B257" t="s">
        <v>256</v>
      </c>
    </row>
    <row r="258" spans="1:2" x14ac:dyDescent="0.25">
      <c r="A258" s="1">
        <v>263</v>
      </c>
      <c r="B258" t="s">
        <v>257</v>
      </c>
    </row>
    <row r="259" spans="1:2" x14ac:dyDescent="0.25">
      <c r="A259" s="1">
        <v>264</v>
      </c>
      <c r="B259" t="s">
        <v>258</v>
      </c>
    </row>
    <row r="260" spans="1:2" x14ac:dyDescent="0.25">
      <c r="A260" s="1">
        <v>275</v>
      </c>
      <c r="B260" t="s">
        <v>259</v>
      </c>
    </row>
    <row r="261" spans="1:2" x14ac:dyDescent="0.25">
      <c r="A261" s="1">
        <v>276</v>
      </c>
      <c r="B261" t="s">
        <v>260</v>
      </c>
    </row>
    <row r="262" spans="1:2" x14ac:dyDescent="0.25">
      <c r="A262" s="1">
        <v>277</v>
      </c>
      <c r="B262" t="s">
        <v>261</v>
      </c>
    </row>
    <row r="263" spans="1:2" x14ac:dyDescent="0.25">
      <c r="A263" s="1">
        <v>278</v>
      </c>
      <c r="B263" t="s">
        <v>262</v>
      </c>
    </row>
    <row r="264" spans="1:2" x14ac:dyDescent="0.25">
      <c r="A264" s="1">
        <v>279</v>
      </c>
      <c r="B264" t="s">
        <v>263</v>
      </c>
    </row>
    <row r="265" spans="1:2" x14ac:dyDescent="0.25">
      <c r="A265" s="1">
        <v>280</v>
      </c>
      <c r="B265" t="s">
        <v>264</v>
      </c>
    </row>
    <row r="266" spans="1:2" x14ac:dyDescent="0.25">
      <c r="A266" s="1">
        <v>281</v>
      </c>
      <c r="B266" t="s">
        <v>265</v>
      </c>
    </row>
    <row r="267" spans="1:2" x14ac:dyDescent="0.25">
      <c r="A267" s="1">
        <v>282</v>
      </c>
      <c r="B267" t="s">
        <v>266</v>
      </c>
    </row>
    <row r="268" spans="1:2" x14ac:dyDescent="0.25">
      <c r="A268" s="1">
        <v>283</v>
      </c>
      <c r="B268" t="s">
        <v>267</v>
      </c>
    </row>
    <row r="269" spans="1:2" x14ac:dyDescent="0.25">
      <c r="A269" s="1">
        <v>284</v>
      </c>
      <c r="B269" t="s">
        <v>268</v>
      </c>
    </row>
    <row r="270" spans="1:2" x14ac:dyDescent="0.25">
      <c r="A270" s="1">
        <v>285</v>
      </c>
      <c r="B270" t="s">
        <v>269</v>
      </c>
    </row>
    <row r="271" spans="1:2" x14ac:dyDescent="0.25">
      <c r="A271" s="1">
        <v>286</v>
      </c>
      <c r="B271" t="s">
        <v>270</v>
      </c>
    </row>
    <row r="272" spans="1:2" x14ac:dyDescent="0.25">
      <c r="A272" s="1">
        <v>287</v>
      </c>
      <c r="B272" t="s">
        <v>271</v>
      </c>
    </row>
    <row r="273" spans="1:2" x14ac:dyDescent="0.25">
      <c r="A273" s="1">
        <v>288</v>
      </c>
      <c r="B273" t="s">
        <v>272</v>
      </c>
    </row>
    <row r="274" spans="1:2" x14ac:dyDescent="0.25">
      <c r="A274" s="1">
        <v>289</v>
      </c>
      <c r="B274" t="s">
        <v>273</v>
      </c>
    </row>
    <row r="275" spans="1:2" x14ac:dyDescent="0.25">
      <c r="A275" s="1">
        <v>290</v>
      </c>
      <c r="B275" t="s">
        <v>274</v>
      </c>
    </row>
    <row r="276" spans="1:2" x14ac:dyDescent="0.25">
      <c r="A276" s="1">
        <v>291</v>
      </c>
      <c r="B276" t="s">
        <v>275</v>
      </c>
    </row>
    <row r="277" spans="1:2" x14ac:dyDescent="0.25">
      <c r="A277" s="1">
        <v>292</v>
      </c>
      <c r="B277" t="s">
        <v>276</v>
      </c>
    </row>
    <row r="278" spans="1:2" x14ac:dyDescent="0.25">
      <c r="A278" s="1">
        <v>293</v>
      </c>
      <c r="B278" t="s">
        <v>277</v>
      </c>
    </row>
    <row r="279" spans="1:2" x14ac:dyDescent="0.25">
      <c r="A279" s="1">
        <v>294</v>
      </c>
      <c r="B279" t="s">
        <v>278</v>
      </c>
    </row>
    <row r="280" spans="1:2" x14ac:dyDescent="0.25">
      <c r="A280" s="1">
        <v>295</v>
      </c>
      <c r="B280" t="s">
        <v>279</v>
      </c>
    </row>
    <row r="281" spans="1:2" x14ac:dyDescent="0.25">
      <c r="A281" s="1">
        <v>296</v>
      </c>
      <c r="B281" t="s">
        <v>280</v>
      </c>
    </row>
    <row r="282" spans="1:2" x14ac:dyDescent="0.25">
      <c r="A282" s="1">
        <v>297</v>
      </c>
      <c r="B282" t="s">
        <v>281</v>
      </c>
    </row>
    <row r="283" spans="1:2" x14ac:dyDescent="0.25">
      <c r="A283" s="1">
        <v>298</v>
      </c>
      <c r="B283" t="s">
        <v>282</v>
      </c>
    </row>
    <row r="284" spans="1:2" x14ac:dyDescent="0.25">
      <c r="A284" s="1">
        <v>299</v>
      </c>
      <c r="B284" t="s">
        <v>283</v>
      </c>
    </row>
    <row r="285" spans="1:2" x14ac:dyDescent="0.25">
      <c r="A285" s="1">
        <v>300</v>
      </c>
      <c r="B285" t="s">
        <v>284</v>
      </c>
    </row>
    <row r="286" spans="1:2" x14ac:dyDescent="0.25">
      <c r="A286" s="1">
        <v>301</v>
      </c>
      <c r="B286" t="s">
        <v>285</v>
      </c>
    </row>
    <row r="287" spans="1:2" x14ac:dyDescent="0.25">
      <c r="A287" s="1">
        <v>302</v>
      </c>
      <c r="B287" t="s">
        <v>286</v>
      </c>
    </row>
    <row r="288" spans="1:2" x14ac:dyDescent="0.25">
      <c r="A288" s="1">
        <v>303</v>
      </c>
      <c r="B288" t="s">
        <v>287</v>
      </c>
    </row>
    <row r="289" spans="1:2" x14ac:dyDescent="0.25">
      <c r="A289" s="1">
        <v>304</v>
      </c>
      <c r="B289" t="s">
        <v>288</v>
      </c>
    </row>
    <row r="290" spans="1:2" x14ac:dyDescent="0.25">
      <c r="A290" s="1">
        <v>305</v>
      </c>
      <c r="B290" t="s">
        <v>289</v>
      </c>
    </row>
    <row r="291" spans="1:2" x14ac:dyDescent="0.25">
      <c r="A291" s="1">
        <v>306</v>
      </c>
      <c r="B291" t="s">
        <v>290</v>
      </c>
    </row>
    <row r="292" spans="1:2" x14ac:dyDescent="0.25">
      <c r="A292" s="1">
        <v>307</v>
      </c>
      <c r="B292" t="s">
        <v>291</v>
      </c>
    </row>
    <row r="293" spans="1:2" x14ac:dyDescent="0.25">
      <c r="A293" s="1">
        <v>308</v>
      </c>
      <c r="B293" t="s">
        <v>292</v>
      </c>
    </row>
    <row r="294" spans="1:2" x14ac:dyDescent="0.25">
      <c r="A294" s="1">
        <v>309</v>
      </c>
      <c r="B294" t="s">
        <v>293</v>
      </c>
    </row>
    <row r="295" spans="1:2" x14ac:dyDescent="0.25">
      <c r="A295" s="1">
        <v>310</v>
      </c>
      <c r="B295" t="s">
        <v>294</v>
      </c>
    </row>
    <row r="296" spans="1:2" x14ac:dyDescent="0.25">
      <c r="A296" s="1">
        <v>311</v>
      </c>
      <c r="B296" t="s">
        <v>295</v>
      </c>
    </row>
    <row r="297" spans="1:2" x14ac:dyDescent="0.25">
      <c r="A297" s="1">
        <v>312</v>
      </c>
      <c r="B297" t="s">
        <v>296</v>
      </c>
    </row>
    <row r="298" spans="1:2" x14ac:dyDescent="0.25">
      <c r="A298" s="1">
        <v>313</v>
      </c>
      <c r="B298" t="s">
        <v>297</v>
      </c>
    </row>
    <row r="299" spans="1:2" x14ac:dyDescent="0.25">
      <c r="A299" s="1">
        <v>314</v>
      </c>
      <c r="B299" t="s">
        <v>298</v>
      </c>
    </row>
    <row r="300" spans="1:2" x14ac:dyDescent="0.25">
      <c r="A300" s="1">
        <v>315</v>
      </c>
      <c r="B300" t="s">
        <v>299</v>
      </c>
    </row>
    <row r="301" spans="1:2" x14ac:dyDescent="0.25">
      <c r="A301" s="1">
        <v>316</v>
      </c>
      <c r="B301" t="s">
        <v>300</v>
      </c>
    </row>
    <row r="302" spans="1:2" x14ac:dyDescent="0.25">
      <c r="A302" s="1">
        <v>317</v>
      </c>
      <c r="B302" t="s">
        <v>301</v>
      </c>
    </row>
    <row r="303" spans="1:2" x14ac:dyDescent="0.25">
      <c r="A303" s="1">
        <v>318</v>
      </c>
      <c r="B303" t="s">
        <v>302</v>
      </c>
    </row>
    <row r="304" spans="1:2" x14ac:dyDescent="0.25">
      <c r="A304" s="1">
        <v>319</v>
      </c>
      <c r="B304" t="s">
        <v>303</v>
      </c>
    </row>
    <row r="305" spans="1:2" x14ac:dyDescent="0.25">
      <c r="A305" s="1">
        <v>320</v>
      </c>
      <c r="B305" t="s">
        <v>304</v>
      </c>
    </row>
    <row r="306" spans="1:2" x14ac:dyDescent="0.25">
      <c r="A306" s="1">
        <v>321</v>
      </c>
      <c r="B306" t="s">
        <v>305</v>
      </c>
    </row>
    <row r="307" spans="1:2" x14ac:dyDescent="0.25">
      <c r="A307" s="1">
        <v>322</v>
      </c>
      <c r="B307" t="s">
        <v>306</v>
      </c>
    </row>
    <row r="308" spans="1:2" x14ac:dyDescent="0.25">
      <c r="A308" s="1">
        <v>323</v>
      </c>
      <c r="B308" t="s">
        <v>307</v>
      </c>
    </row>
    <row r="309" spans="1:2" x14ac:dyDescent="0.25">
      <c r="A309" s="1">
        <v>324</v>
      </c>
      <c r="B309" t="s">
        <v>308</v>
      </c>
    </row>
    <row r="310" spans="1:2" x14ac:dyDescent="0.25">
      <c r="A310" s="1">
        <v>325</v>
      </c>
      <c r="B310" t="s">
        <v>309</v>
      </c>
    </row>
    <row r="311" spans="1:2" x14ac:dyDescent="0.25">
      <c r="A311" s="1">
        <v>326</v>
      </c>
      <c r="B311" t="s">
        <v>310</v>
      </c>
    </row>
    <row r="312" spans="1:2" x14ac:dyDescent="0.25">
      <c r="A312" s="1">
        <v>327</v>
      </c>
      <c r="B312" t="s">
        <v>311</v>
      </c>
    </row>
    <row r="313" spans="1:2" x14ac:dyDescent="0.25">
      <c r="A313" s="1">
        <v>328</v>
      </c>
      <c r="B313" t="s">
        <v>312</v>
      </c>
    </row>
    <row r="314" spans="1:2" x14ac:dyDescent="0.25">
      <c r="A314" s="1">
        <v>329</v>
      </c>
      <c r="B314" t="s">
        <v>313</v>
      </c>
    </row>
    <row r="315" spans="1:2" x14ac:dyDescent="0.25">
      <c r="A315" s="1">
        <v>330</v>
      </c>
      <c r="B315" t="s">
        <v>314</v>
      </c>
    </row>
    <row r="316" spans="1:2" x14ac:dyDescent="0.25">
      <c r="A316" s="1">
        <v>331</v>
      </c>
      <c r="B316" t="s">
        <v>315</v>
      </c>
    </row>
    <row r="317" spans="1:2" x14ac:dyDescent="0.25">
      <c r="A317" s="1">
        <v>332</v>
      </c>
      <c r="B317" t="s">
        <v>316</v>
      </c>
    </row>
    <row r="318" spans="1:2" x14ac:dyDescent="0.25">
      <c r="A318" s="1">
        <v>333</v>
      </c>
      <c r="B318" t="s">
        <v>317</v>
      </c>
    </row>
    <row r="319" spans="1:2" x14ac:dyDescent="0.25">
      <c r="A319" s="1">
        <v>334</v>
      </c>
      <c r="B319" t="s">
        <v>318</v>
      </c>
    </row>
    <row r="320" spans="1:2" x14ac:dyDescent="0.25">
      <c r="A320" s="1">
        <v>335</v>
      </c>
      <c r="B320" t="s">
        <v>319</v>
      </c>
    </row>
    <row r="321" spans="1:2" x14ac:dyDescent="0.25">
      <c r="A321" s="1">
        <v>336</v>
      </c>
      <c r="B321" t="s">
        <v>320</v>
      </c>
    </row>
    <row r="322" spans="1:2" x14ac:dyDescent="0.25">
      <c r="A322" s="1">
        <v>337</v>
      </c>
      <c r="B322" t="s">
        <v>321</v>
      </c>
    </row>
    <row r="323" spans="1:2" x14ac:dyDescent="0.25">
      <c r="A323" s="1">
        <v>338</v>
      </c>
      <c r="B323" t="s">
        <v>322</v>
      </c>
    </row>
    <row r="324" spans="1:2" x14ac:dyDescent="0.25">
      <c r="A324" s="1">
        <v>339</v>
      </c>
      <c r="B324" t="s">
        <v>323</v>
      </c>
    </row>
    <row r="325" spans="1:2" x14ac:dyDescent="0.25">
      <c r="A325" s="1">
        <v>340</v>
      </c>
      <c r="B325" t="s">
        <v>324</v>
      </c>
    </row>
    <row r="326" spans="1:2" x14ac:dyDescent="0.25">
      <c r="A326" s="1">
        <v>341</v>
      </c>
      <c r="B326" t="s">
        <v>325</v>
      </c>
    </row>
    <row r="327" spans="1:2" x14ac:dyDescent="0.25">
      <c r="A327" s="1">
        <v>342</v>
      </c>
      <c r="B327" t="s">
        <v>326</v>
      </c>
    </row>
    <row r="328" spans="1:2" x14ac:dyDescent="0.25">
      <c r="A328" s="1">
        <v>343</v>
      </c>
      <c r="B328" t="s">
        <v>327</v>
      </c>
    </row>
    <row r="329" spans="1:2" x14ac:dyDescent="0.25">
      <c r="A329" s="1">
        <v>344</v>
      </c>
      <c r="B329" t="s">
        <v>328</v>
      </c>
    </row>
    <row r="330" spans="1:2" x14ac:dyDescent="0.25">
      <c r="A330" s="1">
        <v>345</v>
      </c>
      <c r="B330" t="s">
        <v>329</v>
      </c>
    </row>
    <row r="331" spans="1:2" x14ac:dyDescent="0.25">
      <c r="A331" s="1">
        <v>346</v>
      </c>
      <c r="B331" t="s">
        <v>330</v>
      </c>
    </row>
    <row r="332" spans="1:2" x14ac:dyDescent="0.25">
      <c r="A332" s="1">
        <v>347</v>
      </c>
      <c r="B332" t="s">
        <v>331</v>
      </c>
    </row>
    <row r="333" spans="1:2" x14ac:dyDescent="0.25">
      <c r="A333" s="1">
        <v>348</v>
      </c>
      <c r="B333" t="s">
        <v>332</v>
      </c>
    </row>
    <row r="334" spans="1:2" x14ac:dyDescent="0.25">
      <c r="A334" s="1">
        <v>349</v>
      </c>
      <c r="B334" t="s">
        <v>333</v>
      </c>
    </row>
    <row r="335" spans="1:2" x14ac:dyDescent="0.25">
      <c r="A335" s="1">
        <v>350</v>
      </c>
      <c r="B335" t="s">
        <v>334</v>
      </c>
    </row>
    <row r="336" spans="1:2" x14ac:dyDescent="0.25">
      <c r="A336" s="1">
        <v>351</v>
      </c>
      <c r="B336" t="s">
        <v>335</v>
      </c>
    </row>
    <row r="337" spans="1:2" x14ac:dyDescent="0.25">
      <c r="A337" s="1">
        <v>352</v>
      </c>
      <c r="B337" t="s">
        <v>336</v>
      </c>
    </row>
    <row r="338" spans="1:2" x14ac:dyDescent="0.25">
      <c r="A338" s="1">
        <v>353</v>
      </c>
      <c r="B338" t="s">
        <v>337</v>
      </c>
    </row>
    <row r="339" spans="1:2" x14ac:dyDescent="0.25">
      <c r="A339" s="1">
        <v>354</v>
      </c>
      <c r="B339" t="s">
        <v>338</v>
      </c>
    </row>
    <row r="340" spans="1:2" x14ac:dyDescent="0.25">
      <c r="A340" s="1">
        <v>355</v>
      </c>
      <c r="B340" t="s">
        <v>339</v>
      </c>
    </row>
    <row r="341" spans="1:2" x14ac:dyDescent="0.25">
      <c r="A341" s="1">
        <v>356</v>
      </c>
      <c r="B341" t="s">
        <v>340</v>
      </c>
    </row>
    <row r="342" spans="1:2" x14ac:dyDescent="0.25">
      <c r="A342" s="1">
        <v>359</v>
      </c>
      <c r="B342" t="s">
        <v>341</v>
      </c>
    </row>
    <row r="343" spans="1:2" x14ac:dyDescent="0.25">
      <c r="A343" s="1">
        <v>360</v>
      </c>
      <c r="B343" t="s">
        <v>342</v>
      </c>
    </row>
    <row r="344" spans="1:2" x14ac:dyDescent="0.25">
      <c r="A344" s="1">
        <v>361</v>
      </c>
      <c r="B344" t="s">
        <v>343</v>
      </c>
    </row>
    <row r="345" spans="1:2" x14ac:dyDescent="0.25">
      <c r="A345" s="1">
        <v>362</v>
      </c>
      <c r="B345" t="s">
        <v>344</v>
      </c>
    </row>
    <row r="346" spans="1:2" x14ac:dyDescent="0.25">
      <c r="A346" s="1">
        <v>363</v>
      </c>
      <c r="B346" t="s">
        <v>345</v>
      </c>
    </row>
    <row r="347" spans="1:2" x14ac:dyDescent="0.25">
      <c r="A347" s="1">
        <v>364</v>
      </c>
      <c r="B347" t="s">
        <v>346</v>
      </c>
    </row>
    <row r="348" spans="1:2" x14ac:dyDescent="0.25">
      <c r="A348" s="1">
        <v>365</v>
      </c>
      <c r="B348" t="s">
        <v>347</v>
      </c>
    </row>
    <row r="349" spans="1:2" x14ac:dyDescent="0.25">
      <c r="A349" s="1">
        <v>366</v>
      </c>
      <c r="B349" t="s">
        <v>348</v>
      </c>
    </row>
    <row r="350" spans="1:2" x14ac:dyDescent="0.25">
      <c r="A350" s="1">
        <v>367</v>
      </c>
      <c r="B350" t="s">
        <v>349</v>
      </c>
    </row>
    <row r="351" spans="1:2" x14ac:dyDescent="0.25">
      <c r="A351" s="1">
        <v>368</v>
      </c>
      <c r="B351" t="s">
        <v>350</v>
      </c>
    </row>
    <row r="352" spans="1:2" x14ac:dyDescent="0.25">
      <c r="A352" s="1">
        <v>369</v>
      </c>
      <c r="B352" t="s">
        <v>351</v>
      </c>
    </row>
    <row r="353" spans="1:2" x14ac:dyDescent="0.25">
      <c r="A353" s="1">
        <v>370</v>
      </c>
      <c r="B353" t="s">
        <v>352</v>
      </c>
    </row>
    <row r="354" spans="1:2" x14ac:dyDescent="0.25">
      <c r="A354" s="1">
        <v>371</v>
      </c>
      <c r="B354" t="s">
        <v>353</v>
      </c>
    </row>
    <row r="355" spans="1:2" x14ac:dyDescent="0.25">
      <c r="A355" s="1">
        <v>372</v>
      </c>
      <c r="B355" t="s">
        <v>354</v>
      </c>
    </row>
    <row r="356" spans="1:2" x14ac:dyDescent="0.25">
      <c r="A356" s="1">
        <v>373</v>
      </c>
      <c r="B356" t="s">
        <v>355</v>
      </c>
    </row>
    <row r="357" spans="1:2" x14ac:dyDescent="0.25">
      <c r="A357" s="1">
        <v>374</v>
      </c>
      <c r="B357" t="s">
        <v>356</v>
      </c>
    </row>
    <row r="358" spans="1:2" x14ac:dyDescent="0.25">
      <c r="A358" s="1">
        <v>375</v>
      </c>
      <c r="B358" t="s">
        <v>357</v>
      </c>
    </row>
    <row r="359" spans="1:2" x14ac:dyDescent="0.25">
      <c r="A359" s="1">
        <v>376</v>
      </c>
      <c r="B359" t="s">
        <v>358</v>
      </c>
    </row>
    <row r="360" spans="1:2" x14ac:dyDescent="0.25">
      <c r="A360" s="1">
        <v>377</v>
      </c>
      <c r="B360" t="s">
        <v>359</v>
      </c>
    </row>
    <row r="361" spans="1:2" x14ac:dyDescent="0.25">
      <c r="A361" s="1">
        <v>378</v>
      </c>
      <c r="B361" t="s">
        <v>360</v>
      </c>
    </row>
    <row r="362" spans="1:2" x14ac:dyDescent="0.25">
      <c r="A362" s="1">
        <v>379</v>
      </c>
      <c r="B362" t="s">
        <v>361</v>
      </c>
    </row>
    <row r="363" spans="1:2" x14ac:dyDescent="0.25">
      <c r="A363" s="1">
        <v>380</v>
      </c>
      <c r="B363" t="s">
        <v>362</v>
      </c>
    </row>
    <row r="364" spans="1:2" x14ac:dyDescent="0.25">
      <c r="A364" s="1">
        <v>381</v>
      </c>
      <c r="B364" t="s">
        <v>363</v>
      </c>
    </row>
    <row r="365" spans="1:2" x14ac:dyDescent="0.25">
      <c r="A365" s="1">
        <v>382</v>
      </c>
      <c r="B365" t="s">
        <v>364</v>
      </c>
    </row>
    <row r="366" spans="1:2" x14ac:dyDescent="0.25">
      <c r="A366" s="1">
        <v>383</v>
      </c>
      <c r="B366" t="s">
        <v>365</v>
      </c>
    </row>
    <row r="367" spans="1:2" x14ac:dyDescent="0.25">
      <c r="A367" s="1">
        <v>384</v>
      </c>
      <c r="B367" t="s">
        <v>366</v>
      </c>
    </row>
    <row r="368" spans="1:2" x14ac:dyDescent="0.25">
      <c r="A368" s="1">
        <v>385</v>
      </c>
      <c r="B368" t="s">
        <v>367</v>
      </c>
    </row>
    <row r="369" spans="1:2" x14ac:dyDescent="0.25">
      <c r="A369" s="1">
        <v>386</v>
      </c>
      <c r="B369" t="s">
        <v>368</v>
      </c>
    </row>
    <row r="370" spans="1:2" x14ac:dyDescent="0.25">
      <c r="A370" s="1">
        <v>387</v>
      </c>
      <c r="B370" t="s">
        <v>369</v>
      </c>
    </row>
    <row r="371" spans="1:2" x14ac:dyDescent="0.25">
      <c r="A371" s="1">
        <v>388</v>
      </c>
      <c r="B371" t="s">
        <v>370</v>
      </c>
    </row>
    <row r="372" spans="1:2" x14ac:dyDescent="0.25">
      <c r="A372" s="1">
        <v>389</v>
      </c>
      <c r="B372" t="s">
        <v>371</v>
      </c>
    </row>
    <row r="373" spans="1:2" x14ac:dyDescent="0.25">
      <c r="A373" s="1">
        <v>390</v>
      </c>
      <c r="B373" t="s">
        <v>372</v>
      </c>
    </row>
    <row r="374" spans="1:2" x14ac:dyDescent="0.25">
      <c r="A374" s="1">
        <v>391</v>
      </c>
      <c r="B374" t="s">
        <v>373</v>
      </c>
    </row>
    <row r="375" spans="1:2" x14ac:dyDescent="0.25">
      <c r="A375" s="1">
        <v>392</v>
      </c>
      <c r="B375" t="s">
        <v>374</v>
      </c>
    </row>
    <row r="376" spans="1:2" x14ac:dyDescent="0.25">
      <c r="A376" s="1">
        <v>393</v>
      </c>
      <c r="B376" t="s">
        <v>375</v>
      </c>
    </row>
    <row r="377" spans="1:2" x14ac:dyDescent="0.25">
      <c r="A377" s="1">
        <v>394</v>
      </c>
      <c r="B377" t="s">
        <v>376</v>
      </c>
    </row>
    <row r="378" spans="1:2" x14ac:dyDescent="0.25">
      <c r="A378" s="1">
        <v>395</v>
      </c>
      <c r="B378" t="s">
        <v>377</v>
      </c>
    </row>
    <row r="379" spans="1:2" x14ac:dyDescent="0.25">
      <c r="A379" s="1">
        <v>396</v>
      </c>
      <c r="B379" t="s">
        <v>378</v>
      </c>
    </row>
    <row r="380" spans="1:2" x14ac:dyDescent="0.25">
      <c r="A380" s="1">
        <v>397</v>
      </c>
      <c r="B380" t="s">
        <v>379</v>
      </c>
    </row>
    <row r="381" spans="1:2" x14ac:dyDescent="0.25">
      <c r="A381" s="1">
        <v>398</v>
      </c>
      <c r="B381" t="s">
        <v>380</v>
      </c>
    </row>
    <row r="382" spans="1:2" x14ac:dyDescent="0.25">
      <c r="A382" s="1">
        <v>399</v>
      </c>
      <c r="B382" t="s">
        <v>381</v>
      </c>
    </row>
    <row r="383" spans="1:2" x14ac:dyDescent="0.25">
      <c r="A383" s="1">
        <v>400</v>
      </c>
      <c r="B383" t="s">
        <v>382</v>
      </c>
    </row>
    <row r="384" spans="1:2" x14ac:dyDescent="0.25">
      <c r="A384" s="1">
        <v>401</v>
      </c>
      <c r="B384" t="s">
        <v>383</v>
      </c>
    </row>
    <row r="385" spans="1:2" x14ac:dyDescent="0.25">
      <c r="A385" s="1">
        <v>402</v>
      </c>
      <c r="B385" t="s">
        <v>384</v>
      </c>
    </row>
    <row r="386" spans="1:2" x14ac:dyDescent="0.25">
      <c r="A386" s="1">
        <v>403</v>
      </c>
      <c r="B386" t="s">
        <v>385</v>
      </c>
    </row>
    <row r="387" spans="1:2" x14ac:dyDescent="0.25">
      <c r="A387" s="1">
        <v>404</v>
      </c>
      <c r="B387" t="s">
        <v>386</v>
      </c>
    </row>
    <row r="388" spans="1:2" x14ac:dyDescent="0.25">
      <c r="A388" s="1">
        <v>405</v>
      </c>
      <c r="B388" t="s">
        <v>387</v>
      </c>
    </row>
    <row r="389" spans="1:2" x14ac:dyDescent="0.25">
      <c r="A389" s="1">
        <v>406</v>
      </c>
      <c r="B389" t="s">
        <v>388</v>
      </c>
    </row>
    <row r="390" spans="1:2" x14ac:dyDescent="0.25">
      <c r="A390" s="1">
        <v>407</v>
      </c>
      <c r="B390" t="s">
        <v>389</v>
      </c>
    </row>
    <row r="391" spans="1:2" x14ac:dyDescent="0.25">
      <c r="A391" s="1">
        <v>408</v>
      </c>
      <c r="B391" t="s">
        <v>390</v>
      </c>
    </row>
    <row r="392" spans="1:2" x14ac:dyDescent="0.25">
      <c r="A392" s="1">
        <v>409</v>
      </c>
      <c r="B392" t="s">
        <v>391</v>
      </c>
    </row>
    <row r="393" spans="1:2" x14ac:dyDescent="0.25">
      <c r="A393" s="1">
        <v>410</v>
      </c>
      <c r="B393" t="s">
        <v>392</v>
      </c>
    </row>
    <row r="394" spans="1:2" x14ac:dyDescent="0.25">
      <c r="A394" s="1">
        <v>411</v>
      </c>
      <c r="B394" t="s">
        <v>393</v>
      </c>
    </row>
    <row r="395" spans="1:2" x14ac:dyDescent="0.25">
      <c r="A395" s="1">
        <v>412</v>
      </c>
      <c r="B395" t="s">
        <v>394</v>
      </c>
    </row>
    <row r="396" spans="1:2" x14ac:dyDescent="0.25">
      <c r="A396" s="1">
        <v>413</v>
      </c>
      <c r="B396" t="s">
        <v>395</v>
      </c>
    </row>
    <row r="397" spans="1:2" x14ac:dyDescent="0.25">
      <c r="A397" s="1">
        <v>414</v>
      </c>
      <c r="B397" t="s">
        <v>396</v>
      </c>
    </row>
    <row r="398" spans="1:2" x14ac:dyDescent="0.25">
      <c r="A398" s="1">
        <v>415</v>
      </c>
      <c r="B398" t="s">
        <v>397</v>
      </c>
    </row>
    <row r="399" spans="1:2" x14ac:dyDescent="0.25">
      <c r="A399" s="1">
        <v>416</v>
      </c>
      <c r="B399" t="s">
        <v>398</v>
      </c>
    </row>
    <row r="400" spans="1:2" x14ac:dyDescent="0.25">
      <c r="A400" s="1">
        <v>417</v>
      </c>
      <c r="B400" t="s">
        <v>399</v>
      </c>
    </row>
    <row r="401" spans="1:2" x14ac:dyDescent="0.25">
      <c r="A401" s="1">
        <v>418</v>
      </c>
      <c r="B401" t="s">
        <v>400</v>
      </c>
    </row>
    <row r="402" spans="1:2" x14ac:dyDescent="0.25">
      <c r="A402" s="1">
        <v>419</v>
      </c>
      <c r="B402" t="s">
        <v>401</v>
      </c>
    </row>
    <row r="403" spans="1:2" x14ac:dyDescent="0.25">
      <c r="A403" s="1">
        <v>420</v>
      </c>
      <c r="B403" t="s">
        <v>402</v>
      </c>
    </row>
    <row r="404" spans="1:2" x14ac:dyDescent="0.25">
      <c r="A404" s="1">
        <v>421</v>
      </c>
      <c r="B404" t="s">
        <v>403</v>
      </c>
    </row>
    <row r="405" spans="1:2" x14ac:dyDescent="0.25">
      <c r="A405" s="1">
        <v>422</v>
      </c>
      <c r="B405" t="s">
        <v>404</v>
      </c>
    </row>
    <row r="406" spans="1:2" x14ac:dyDescent="0.25">
      <c r="A406" s="1">
        <v>423</v>
      </c>
      <c r="B406" t="s">
        <v>405</v>
      </c>
    </row>
    <row r="407" spans="1:2" x14ac:dyDescent="0.25">
      <c r="A407" s="1">
        <v>424</v>
      </c>
      <c r="B407" t="s">
        <v>406</v>
      </c>
    </row>
    <row r="408" spans="1:2" x14ac:dyDescent="0.25">
      <c r="A408" s="1">
        <v>425</v>
      </c>
      <c r="B408" t="s">
        <v>407</v>
      </c>
    </row>
    <row r="409" spans="1:2" x14ac:dyDescent="0.25">
      <c r="A409" s="1">
        <v>426</v>
      </c>
      <c r="B409" t="s">
        <v>408</v>
      </c>
    </row>
    <row r="410" spans="1:2" x14ac:dyDescent="0.25">
      <c r="A410" s="1">
        <v>427</v>
      </c>
      <c r="B410" t="s">
        <v>409</v>
      </c>
    </row>
    <row r="411" spans="1:2" x14ac:dyDescent="0.25">
      <c r="A411" s="1">
        <v>428</v>
      </c>
      <c r="B411" t="s">
        <v>410</v>
      </c>
    </row>
    <row r="412" spans="1:2" x14ac:dyDescent="0.25">
      <c r="A412" s="1">
        <v>429</v>
      </c>
      <c r="B412" t="s">
        <v>411</v>
      </c>
    </row>
    <row r="413" spans="1:2" x14ac:dyDescent="0.25">
      <c r="A413" s="1">
        <v>430</v>
      </c>
      <c r="B413" t="s">
        <v>412</v>
      </c>
    </row>
    <row r="414" spans="1:2" x14ac:dyDescent="0.25">
      <c r="A414" s="1">
        <v>431</v>
      </c>
      <c r="B414" t="s">
        <v>413</v>
      </c>
    </row>
    <row r="415" spans="1:2" x14ac:dyDescent="0.25">
      <c r="A415" s="1">
        <v>432</v>
      </c>
      <c r="B415" t="s">
        <v>414</v>
      </c>
    </row>
    <row r="416" spans="1:2" x14ac:dyDescent="0.25">
      <c r="A416" s="1">
        <v>433</v>
      </c>
      <c r="B416" t="s">
        <v>415</v>
      </c>
    </row>
    <row r="417" spans="1:2" x14ac:dyDescent="0.25">
      <c r="A417" s="1">
        <v>434</v>
      </c>
      <c r="B417" t="s">
        <v>416</v>
      </c>
    </row>
    <row r="418" spans="1:2" x14ac:dyDescent="0.25">
      <c r="A418" s="1">
        <v>435</v>
      </c>
      <c r="B418" t="s">
        <v>417</v>
      </c>
    </row>
    <row r="419" spans="1:2" x14ac:dyDescent="0.25">
      <c r="A419" s="1">
        <v>436</v>
      </c>
      <c r="B419" t="s">
        <v>418</v>
      </c>
    </row>
    <row r="420" spans="1:2" x14ac:dyDescent="0.25">
      <c r="A420" s="1">
        <v>437</v>
      </c>
      <c r="B420" t="s">
        <v>419</v>
      </c>
    </row>
    <row r="421" spans="1:2" x14ac:dyDescent="0.25">
      <c r="A421" s="1">
        <v>438</v>
      </c>
      <c r="B421" t="s">
        <v>420</v>
      </c>
    </row>
    <row r="422" spans="1:2" x14ac:dyDescent="0.25">
      <c r="A422" s="1">
        <v>439</v>
      </c>
      <c r="B422" t="s">
        <v>421</v>
      </c>
    </row>
    <row r="423" spans="1:2" x14ac:dyDescent="0.25">
      <c r="A423" s="1">
        <v>440</v>
      </c>
      <c r="B423" t="s">
        <v>422</v>
      </c>
    </row>
    <row r="424" spans="1:2" x14ac:dyDescent="0.25">
      <c r="A424" s="1">
        <v>441</v>
      </c>
      <c r="B424" t="s">
        <v>423</v>
      </c>
    </row>
    <row r="425" spans="1:2" x14ac:dyDescent="0.25">
      <c r="A425" s="1">
        <v>442</v>
      </c>
      <c r="B425" t="s">
        <v>424</v>
      </c>
    </row>
    <row r="426" spans="1:2" x14ac:dyDescent="0.25">
      <c r="A426" s="1">
        <v>443</v>
      </c>
      <c r="B426" t="s">
        <v>425</v>
      </c>
    </row>
    <row r="427" spans="1:2" x14ac:dyDescent="0.25">
      <c r="A427" s="1">
        <v>444</v>
      </c>
      <c r="B427" t="s">
        <v>426</v>
      </c>
    </row>
    <row r="428" spans="1:2" x14ac:dyDescent="0.25">
      <c r="A428" s="1">
        <v>445</v>
      </c>
      <c r="B428" t="s">
        <v>427</v>
      </c>
    </row>
    <row r="429" spans="1:2" x14ac:dyDescent="0.25">
      <c r="A429" s="1">
        <v>446</v>
      </c>
      <c r="B429" t="s">
        <v>428</v>
      </c>
    </row>
    <row r="430" spans="1:2" x14ac:dyDescent="0.25">
      <c r="A430" s="1">
        <v>447</v>
      </c>
      <c r="B430" t="s">
        <v>429</v>
      </c>
    </row>
    <row r="431" spans="1:2" x14ac:dyDescent="0.25">
      <c r="A431" s="1">
        <v>448</v>
      </c>
      <c r="B431" t="s">
        <v>430</v>
      </c>
    </row>
    <row r="432" spans="1:2" x14ac:dyDescent="0.25">
      <c r="A432" s="1">
        <v>449</v>
      </c>
      <c r="B432" t="s">
        <v>431</v>
      </c>
    </row>
    <row r="433" spans="1:2" x14ac:dyDescent="0.25">
      <c r="A433" s="1">
        <v>450</v>
      </c>
      <c r="B433" t="s">
        <v>432</v>
      </c>
    </row>
    <row r="434" spans="1:2" x14ac:dyDescent="0.25">
      <c r="A434" s="1">
        <v>451</v>
      </c>
      <c r="B434" t="s">
        <v>433</v>
      </c>
    </row>
    <row r="435" spans="1:2" x14ac:dyDescent="0.25">
      <c r="A435" s="1">
        <v>452</v>
      </c>
      <c r="B435" t="s">
        <v>434</v>
      </c>
    </row>
    <row r="436" spans="1:2" x14ac:dyDescent="0.25">
      <c r="A436" s="1">
        <v>453</v>
      </c>
      <c r="B436" t="s">
        <v>435</v>
      </c>
    </row>
    <row r="437" spans="1:2" x14ac:dyDescent="0.25">
      <c r="A437" s="1">
        <v>454</v>
      </c>
      <c r="B437" t="s">
        <v>436</v>
      </c>
    </row>
    <row r="438" spans="1:2" x14ac:dyDescent="0.25">
      <c r="A438" s="1">
        <v>455</v>
      </c>
      <c r="B438" t="s">
        <v>437</v>
      </c>
    </row>
    <row r="439" spans="1:2" x14ac:dyDescent="0.25">
      <c r="A439" s="1">
        <v>456</v>
      </c>
      <c r="B439" t="s">
        <v>438</v>
      </c>
    </row>
    <row r="440" spans="1:2" x14ac:dyDescent="0.25">
      <c r="A440" s="1">
        <v>457</v>
      </c>
      <c r="B440" t="s">
        <v>439</v>
      </c>
    </row>
    <row r="441" spans="1:2" x14ac:dyDescent="0.25">
      <c r="A441" s="1">
        <v>458</v>
      </c>
      <c r="B441" t="s">
        <v>440</v>
      </c>
    </row>
    <row r="442" spans="1:2" x14ac:dyDescent="0.25">
      <c r="A442" s="1">
        <v>459</v>
      </c>
      <c r="B442" t="s">
        <v>441</v>
      </c>
    </row>
    <row r="443" spans="1:2" x14ac:dyDescent="0.25">
      <c r="A443" s="1">
        <v>460</v>
      </c>
      <c r="B443" t="s">
        <v>442</v>
      </c>
    </row>
    <row r="444" spans="1:2" x14ac:dyDescent="0.25">
      <c r="A444" s="1">
        <v>461</v>
      </c>
      <c r="B444" t="s">
        <v>443</v>
      </c>
    </row>
    <row r="445" spans="1:2" x14ac:dyDescent="0.25">
      <c r="A445" s="1">
        <v>462</v>
      </c>
      <c r="B445" t="s">
        <v>444</v>
      </c>
    </row>
    <row r="446" spans="1:2" x14ac:dyDescent="0.25">
      <c r="A446" s="1">
        <v>463</v>
      </c>
      <c r="B446" t="s">
        <v>445</v>
      </c>
    </row>
    <row r="447" spans="1:2" x14ac:dyDescent="0.25">
      <c r="A447" s="1">
        <v>464</v>
      </c>
      <c r="B447" t="s">
        <v>446</v>
      </c>
    </row>
    <row r="448" spans="1:2" x14ac:dyDescent="0.25">
      <c r="A448" s="1">
        <v>466</v>
      </c>
      <c r="B448" t="s">
        <v>447</v>
      </c>
    </row>
    <row r="449" spans="1:2" x14ac:dyDescent="0.25">
      <c r="A449" s="1">
        <v>467</v>
      </c>
      <c r="B449" t="s">
        <v>448</v>
      </c>
    </row>
    <row r="450" spans="1:2" x14ac:dyDescent="0.25">
      <c r="A450" s="1">
        <v>468</v>
      </c>
      <c r="B450" t="s">
        <v>449</v>
      </c>
    </row>
    <row r="451" spans="1:2" x14ac:dyDescent="0.25">
      <c r="A451" s="1">
        <v>469</v>
      </c>
      <c r="B451" t="s">
        <v>450</v>
      </c>
    </row>
    <row r="452" spans="1:2" x14ac:dyDescent="0.25">
      <c r="A452" s="1">
        <v>470</v>
      </c>
      <c r="B452" t="s">
        <v>451</v>
      </c>
    </row>
    <row r="453" spans="1:2" x14ac:dyDescent="0.25">
      <c r="A453" s="1">
        <v>471</v>
      </c>
      <c r="B453" t="s">
        <v>452</v>
      </c>
    </row>
    <row r="454" spans="1:2" x14ac:dyDescent="0.25">
      <c r="A454" s="1">
        <v>476</v>
      </c>
      <c r="B454" t="s">
        <v>453</v>
      </c>
    </row>
    <row r="455" spans="1:2" x14ac:dyDescent="0.25">
      <c r="A455" s="1">
        <v>477</v>
      </c>
      <c r="B455" t="s">
        <v>454</v>
      </c>
    </row>
    <row r="456" spans="1:2" x14ac:dyDescent="0.25">
      <c r="A456" s="1">
        <v>478</v>
      </c>
      <c r="B456" t="s">
        <v>455</v>
      </c>
    </row>
    <row r="457" spans="1:2" x14ac:dyDescent="0.25">
      <c r="A457" s="1">
        <v>479</v>
      </c>
      <c r="B457" t="s">
        <v>456</v>
      </c>
    </row>
    <row r="458" spans="1:2" x14ac:dyDescent="0.25">
      <c r="A458" s="1">
        <v>480</v>
      </c>
      <c r="B458" t="s">
        <v>457</v>
      </c>
    </row>
    <row r="459" spans="1:2" x14ac:dyDescent="0.25">
      <c r="A459" s="1">
        <v>481</v>
      </c>
      <c r="B459" t="s">
        <v>458</v>
      </c>
    </row>
    <row r="460" spans="1:2" x14ac:dyDescent="0.25">
      <c r="A460" s="1">
        <v>482</v>
      </c>
      <c r="B460" t="s">
        <v>459</v>
      </c>
    </row>
    <row r="461" spans="1:2" x14ac:dyDescent="0.25">
      <c r="A461" s="1">
        <v>483</v>
      </c>
      <c r="B461" t="s">
        <v>460</v>
      </c>
    </row>
    <row r="462" spans="1:2" x14ac:dyDescent="0.25">
      <c r="A462" s="1">
        <v>484</v>
      </c>
      <c r="B462" t="s">
        <v>461</v>
      </c>
    </row>
    <row r="463" spans="1:2" x14ac:dyDescent="0.25">
      <c r="A463" s="1">
        <v>485</v>
      </c>
      <c r="B463" t="s">
        <v>462</v>
      </c>
    </row>
    <row r="464" spans="1:2" x14ac:dyDescent="0.25">
      <c r="A464" s="1">
        <v>486</v>
      </c>
      <c r="B464" t="s">
        <v>463</v>
      </c>
    </row>
    <row r="465" spans="1:2" x14ac:dyDescent="0.25">
      <c r="A465" s="1">
        <v>487</v>
      </c>
      <c r="B465" t="s">
        <v>464</v>
      </c>
    </row>
    <row r="466" spans="1:2" x14ac:dyDescent="0.25">
      <c r="A466" s="1">
        <v>488</v>
      </c>
      <c r="B466" t="s">
        <v>465</v>
      </c>
    </row>
    <row r="467" spans="1:2" x14ac:dyDescent="0.25">
      <c r="A467" s="1">
        <v>489</v>
      </c>
      <c r="B467" t="s">
        <v>466</v>
      </c>
    </row>
    <row r="468" spans="1:2" x14ac:dyDescent="0.25">
      <c r="A468" s="1">
        <v>490</v>
      </c>
      <c r="B468" t="s">
        <v>467</v>
      </c>
    </row>
    <row r="469" spans="1:2" x14ac:dyDescent="0.25">
      <c r="A469" s="1">
        <v>491</v>
      </c>
      <c r="B469" t="s">
        <v>468</v>
      </c>
    </row>
    <row r="470" spans="1:2" x14ac:dyDescent="0.25">
      <c r="A470" s="1">
        <v>492</v>
      </c>
      <c r="B470" t="s">
        <v>469</v>
      </c>
    </row>
    <row r="471" spans="1:2" x14ac:dyDescent="0.25">
      <c r="A471" s="1">
        <v>493</v>
      </c>
      <c r="B471" t="s">
        <v>470</v>
      </c>
    </row>
    <row r="472" spans="1:2" x14ac:dyDescent="0.25">
      <c r="A472" s="1">
        <v>494</v>
      </c>
      <c r="B472" t="s">
        <v>471</v>
      </c>
    </row>
    <row r="473" spans="1:2" x14ac:dyDescent="0.25">
      <c r="A473" s="1">
        <v>495</v>
      </c>
      <c r="B473" t="s">
        <v>472</v>
      </c>
    </row>
    <row r="474" spans="1:2" x14ac:dyDescent="0.25">
      <c r="A474" s="1">
        <v>496</v>
      </c>
      <c r="B474" t="s">
        <v>473</v>
      </c>
    </row>
    <row r="475" spans="1:2" x14ac:dyDescent="0.25">
      <c r="A475" s="1">
        <v>497</v>
      </c>
      <c r="B475" t="s">
        <v>474</v>
      </c>
    </row>
    <row r="476" spans="1:2" x14ac:dyDescent="0.25">
      <c r="A476" s="1">
        <v>498</v>
      </c>
      <c r="B476" t="s">
        <v>475</v>
      </c>
    </row>
    <row r="477" spans="1:2" x14ac:dyDescent="0.25">
      <c r="A477" s="1">
        <v>499</v>
      </c>
      <c r="B477" t="s">
        <v>476</v>
      </c>
    </row>
    <row r="478" spans="1:2" x14ac:dyDescent="0.25">
      <c r="A478" s="1">
        <v>500</v>
      </c>
      <c r="B478" t="s">
        <v>477</v>
      </c>
    </row>
    <row r="479" spans="1:2" x14ac:dyDescent="0.25">
      <c r="A479" s="1">
        <v>502</v>
      </c>
      <c r="B479" t="s">
        <v>478</v>
      </c>
    </row>
    <row r="480" spans="1:2" x14ac:dyDescent="0.25">
      <c r="A480" s="1">
        <v>503</v>
      </c>
      <c r="B480" t="s">
        <v>479</v>
      </c>
    </row>
    <row r="481" spans="1:2" x14ac:dyDescent="0.25">
      <c r="A481" s="1">
        <v>504</v>
      </c>
      <c r="B481" t="s">
        <v>480</v>
      </c>
    </row>
    <row r="482" spans="1:2" x14ac:dyDescent="0.25">
      <c r="A482" s="1">
        <v>505</v>
      </c>
      <c r="B482" t="s">
        <v>481</v>
      </c>
    </row>
    <row r="483" spans="1:2" x14ac:dyDescent="0.25">
      <c r="A483" s="1">
        <v>506</v>
      </c>
      <c r="B483" t="s">
        <v>241</v>
      </c>
    </row>
    <row r="484" spans="1:2" x14ac:dyDescent="0.25">
      <c r="A484" s="1">
        <v>507</v>
      </c>
      <c r="B484" t="s">
        <v>482</v>
      </c>
    </row>
    <row r="485" spans="1:2" x14ac:dyDescent="0.25">
      <c r="A485" s="1">
        <v>508</v>
      </c>
      <c r="B485" t="s">
        <v>483</v>
      </c>
    </row>
    <row r="486" spans="1:2" x14ac:dyDescent="0.25">
      <c r="A486" s="1">
        <v>509</v>
      </c>
      <c r="B486" t="s">
        <v>484</v>
      </c>
    </row>
    <row r="487" spans="1:2" x14ac:dyDescent="0.25">
      <c r="A487" s="1">
        <v>510</v>
      </c>
      <c r="B487" t="s">
        <v>485</v>
      </c>
    </row>
    <row r="488" spans="1:2" x14ac:dyDescent="0.25">
      <c r="A488" s="1">
        <v>511</v>
      </c>
      <c r="B488" t="s">
        <v>486</v>
      </c>
    </row>
    <row r="489" spans="1:2" x14ac:dyDescent="0.25">
      <c r="A489" s="1">
        <v>512</v>
      </c>
      <c r="B489" t="s">
        <v>487</v>
      </c>
    </row>
    <row r="490" spans="1:2" x14ac:dyDescent="0.25">
      <c r="A490" s="1">
        <v>513</v>
      </c>
      <c r="B490" t="s">
        <v>488</v>
      </c>
    </row>
    <row r="491" spans="1:2" x14ac:dyDescent="0.25">
      <c r="A491" s="1">
        <v>514</v>
      </c>
      <c r="B491" t="s">
        <v>489</v>
      </c>
    </row>
    <row r="492" spans="1:2" x14ac:dyDescent="0.25">
      <c r="A492" s="1">
        <v>515</v>
      </c>
      <c r="B492" t="s">
        <v>490</v>
      </c>
    </row>
    <row r="493" spans="1:2" x14ac:dyDescent="0.25">
      <c r="A493" s="1">
        <v>516</v>
      </c>
      <c r="B493" t="s">
        <v>491</v>
      </c>
    </row>
    <row r="494" spans="1:2" x14ac:dyDescent="0.25">
      <c r="A494" s="1">
        <v>517</v>
      </c>
      <c r="B494" t="s">
        <v>492</v>
      </c>
    </row>
    <row r="495" spans="1:2" x14ac:dyDescent="0.25">
      <c r="A495" s="1">
        <v>518</v>
      </c>
      <c r="B495" t="s">
        <v>493</v>
      </c>
    </row>
    <row r="496" spans="1:2" x14ac:dyDescent="0.25">
      <c r="A496" s="1">
        <v>519</v>
      </c>
      <c r="B496" t="s">
        <v>494</v>
      </c>
    </row>
    <row r="497" spans="1:2" x14ac:dyDescent="0.25">
      <c r="A497" s="1">
        <v>520</v>
      </c>
      <c r="B497" t="s">
        <v>495</v>
      </c>
    </row>
    <row r="498" spans="1:2" x14ac:dyDescent="0.25">
      <c r="A498" s="1">
        <v>521</v>
      </c>
      <c r="B498" t="s">
        <v>496</v>
      </c>
    </row>
    <row r="499" spans="1:2" x14ac:dyDescent="0.25">
      <c r="A499" s="1">
        <v>522</v>
      </c>
      <c r="B499" t="s">
        <v>497</v>
      </c>
    </row>
    <row r="500" spans="1:2" x14ac:dyDescent="0.25">
      <c r="A500" s="1">
        <v>523</v>
      </c>
      <c r="B500" t="s">
        <v>498</v>
      </c>
    </row>
    <row r="501" spans="1:2" x14ac:dyDescent="0.25">
      <c r="A501" s="1">
        <v>524</v>
      </c>
      <c r="B501" t="s">
        <v>499</v>
      </c>
    </row>
    <row r="502" spans="1:2" x14ac:dyDescent="0.25">
      <c r="A502" s="1">
        <v>525</v>
      </c>
      <c r="B502" t="s">
        <v>500</v>
      </c>
    </row>
    <row r="503" spans="1:2" x14ac:dyDescent="0.25">
      <c r="A503" s="1">
        <v>526</v>
      </c>
      <c r="B503" t="s">
        <v>501</v>
      </c>
    </row>
    <row r="504" spans="1:2" x14ac:dyDescent="0.25">
      <c r="A504" s="1">
        <v>527</v>
      </c>
      <c r="B504" t="s">
        <v>502</v>
      </c>
    </row>
    <row r="505" spans="1:2" x14ac:dyDescent="0.25">
      <c r="A505" s="1">
        <v>528</v>
      </c>
      <c r="B505" t="s">
        <v>503</v>
      </c>
    </row>
    <row r="506" spans="1:2" x14ac:dyDescent="0.25">
      <c r="A506" s="1">
        <v>529</v>
      </c>
      <c r="B506" t="s">
        <v>504</v>
      </c>
    </row>
    <row r="507" spans="1:2" x14ac:dyDescent="0.25">
      <c r="A507" s="1">
        <v>530</v>
      </c>
      <c r="B507" t="s">
        <v>505</v>
      </c>
    </row>
    <row r="508" spans="1:2" x14ac:dyDescent="0.25">
      <c r="A508" s="1">
        <v>531</v>
      </c>
      <c r="B508" t="s">
        <v>506</v>
      </c>
    </row>
    <row r="509" spans="1:2" x14ac:dyDescent="0.25">
      <c r="A509" s="1">
        <v>532</v>
      </c>
      <c r="B509" t="s">
        <v>507</v>
      </c>
    </row>
    <row r="510" spans="1:2" x14ac:dyDescent="0.25">
      <c r="A510" s="1">
        <v>533</v>
      </c>
      <c r="B510" t="s">
        <v>262</v>
      </c>
    </row>
    <row r="511" spans="1:2" x14ac:dyDescent="0.25">
      <c r="A511" s="1">
        <v>534</v>
      </c>
      <c r="B511" t="s">
        <v>264</v>
      </c>
    </row>
    <row r="512" spans="1:2" x14ac:dyDescent="0.25">
      <c r="A512" s="1">
        <v>535</v>
      </c>
      <c r="B512" t="s">
        <v>508</v>
      </c>
    </row>
    <row r="513" spans="1:2" x14ac:dyDescent="0.25">
      <c r="A513" s="1">
        <v>536</v>
      </c>
      <c r="B513" t="s">
        <v>509</v>
      </c>
    </row>
    <row r="514" spans="1:2" x14ac:dyDescent="0.25">
      <c r="A514" s="1">
        <v>537</v>
      </c>
      <c r="B514" t="s">
        <v>510</v>
      </c>
    </row>
    <row r="515" spans="1:2" x14ac:dyDescent="0.25">
      <c r="A515" s="1">
        <v>538</v>
      </c>
      <c r="B515" t="s">
        <v>511</v>
      </c>
    </row>
    <row r="516" spans="1:2" x14ac:dyDescent="0.25">
      <c r="A516" s="1">
        <v>539</v>
      </c>
      <c r="B516" t="s">
        <v>512</v>
      </c>
    </row>
    <row r="517" spans="1:2" x14ac:dyDescent="0.25">
      <c r="A517" s="1">
        <v>540</v>
      </c>
      <c r="B517" t="s">
        <v>513</v>
      </c>
    </row>
    <row r="518" spans="1:2" x14ac:dyDescent="0.25">
      <c r="A518" s="1">
        <v>541</v>
      </c>
      <c r="B518" t="s">
        <v>514</v>
      </c>
    </row>
    <row r="519" spans="1:2" x14ac:dyDescent="0.25">
      <c r="A519" s="1">
        <v>542</v>
      </c>
      <c r="B519" t="s">
        <v>515</v>
      </c>
    </row>
    <row r="520" spans="1:2" x14ac:dyDescent="0.25">
      <c r="A520" s="1">
        <v>543</v>
      </c>
      <c r="B520" t="s">
        <v>516</v>
      </c>
    </row>
    <row r="521" spans="1:2" x14ac:dyDescent="0.25">
      <c r="A521" s="1">
        <v>544</v>
      </c>
      <c r="B521" t="s">
        <v>517</v>
      </c>
    </row>
    <row r="522" spans="1:2" x14ac:dyDescent="0.25">
      <c r="A522" s="1">
        <v>545</v>
      </c>
      <c r="B522" t="s">
        <v>518</v>
      </c>
    </row>
    <row r="523" spans="1:2" x14ac:dyDescent="0.25">
      <c r="A523" s="1">
        <v>546</v>
      </c>
      <c r="B523" t="s">
        <v>519</v>
      </c>
    </row>
    <row r="524" spans="1:2" x14ac:dyDescent="0.25">
      <c r="A524" s="1">
        <v>547</v>
      </c>
      <c r="B524" t="s">
        <v>520</v>
      </c>
    </row>
    <row r="525" spans="1:2" x14ac:dyDescent="0.25">
      <c r="A525" s="1">
        <v>548</v>
      </c>
      <c r="B525" t="s">
        <v>521</v>
      </c>
    </row>
    <row r="526" spans="1:2" x14ac:dyDescent="0.25">
      <c r="A526" s="1">
        <v>549</v>
      </c>
      <c r="B526" t="s">
        <v>522</v>
      </c>
    </row>
    <row r="527" spans="1:2" x14ac:dyDescent="0.25">
      <c r="A527" s="1">
        <v>550</v>
      </c>
      <c r="B527" t="s">
        <v>523</v>
      </c>
    </row>
    <row r="528" spans="1:2" x14ac:dyDescent="0.25">
      <c r="A528" s="1">
        <v>551</v>
      </c>
      <c r="B528" t="s">
        <v>524</v>
      </c>
    </row>
    <row r="529" spans="1:2" x14ac:dyDescent="0.25">
      <c r="A529" s="1">
        <v>552</v>
      </c>
      <c r="B529" t="s">
        <v>525</v>
      </c>
    </row>
    <row r="530" spans="1:2" x14ac:dyDescent="0.25">
      <c r="A530" s="1">
        <v>553</v>
      </c>
      <c r="B530" t="s">
        <v>526</v>
      </c>
    </row>
    <row r="531" spans="1:2" x14ac:dyDescent="0.25">
      <c r="A531" s="1">
        <v>554</v>
      </c>
      <c r="B531" t="s">
        <v>527</v>
      </c>
    </row>
    <row r="532" spans="1:2" x14ac:dyDescent="0.25">
      <c r="A532" s="1">
        <v>555</v>
      </c>
      <c r="B532" t="s">
        <v>528</v>
      </c>
    </row>
    <row r="533" spans="1:2" x14ac:dyDescent="0.25">
      <c r="A533" s="1">
        <v>556</v>
      </c>
      <c r="B533" t="s">
        <v>529</v>
      </c>
    </row>
    <row r="534" spans="1:2" x14ac:dyDescent="0.25">
      <c r="A534" s="1">
        <v>557</v>
      </c>
      <c r="B534" t="s">
        <v>530</v>
      </c>
    </row>
    <row r="535" spans="1:2" x14ac:dyDescent="0.25">
      <c r="A535" s="1">
        <v>558</v>
      </c>
      <c r="B535" t="s">
        <v>531</v>
      </c>
    </row>
    <row r="536" spans="1:2" x14ac:dyDescent="0.25">
      <c r="A536" s="1">
        <v>559</v>
      </c>
      <c r="B536" t="s">
        <v>532</v>
      </c>
    </row>
    <row r="537" spans="1:2" x14ac:dyDescent="0.25">
      <c r="A537" s="1">
        <v>560</v>
      </c>
      <c r="B537" t="s">
        <v>533</v>
      </c>
    </row>
    <row r="538" spans="1:2" x14ac:dyDescent="0.25">
      <c r="A538" s="1">
        <v>561</v>
      </c>
      <c r="B538" t="s">
        <v>534</v>
      </c>
    </row>
    <row r="539" spans="1:2" x14ac:dyDescent="0.25">
      <c r="A539" s="1">
        <v>562</v>
      </c>
      <c r="B539" t="s">
        <v>535</v>
      </c>
    </row>
    <row r="540" spans="1:2" x14ac:dyDescent="0.25">
      <c r="A540" s="1">
        <v>565</v>
      </c>
      <c r="B540" t="s">
        <v>536</v>
      </c>
    </row>
    <row r="541" spans="1:2" x14ac:dyDescent="0.25">
      <c r="A541" s="1">
        <v>566</v>
      </c>
      <c r="B541" t="s">
        <v>537</v>
      </c>
    </row>
    <row r="542" spans="1:2" x14ac:dyDescent="0.25">
      <c r="A542" s="1">
        <v>567</v>
      </c>
      <c r="B542" t="s">
        <v>538</v>
      </c>
    </row>
    <row r="543" spans="1:2" x14ac:dyDescent="0.25">
      <c r="A543" s="1">
        <v>568</v>
      </c>
      <c r="B543" t="s">
        <v>539</v>
      </c>
    </row>
    <row r="544" spans="1:2" x14ac:dyDescent="0.25">
      <c r="A544" s="1">
        <v>569</v>
      </c>
      <c r="B544" t="s">
        <v>540</v>
      </c>
    </row>
    <row r="545" spans="1:2" x14ac:dyDescent="0.25">
      <c r="A545" s="1">
        <v>570</v>
      </c>
      <c r="B545" t="s">
        <v>541</v>
      </c>
    </row>
    <row r="546" spans="1:2" x14ac:dyDescent="0.25">
      <c r="A546" s="1">
        <v>571</v>
      </c>
      <c r="B546" t="s">
        <v>542</v>
      </c>
    </row>
    <row r="547" spans="1:2" x14ac:dyDescent="0.25">
      <c r="A547" s="1">
        <v>572</v>
      </c>
      <c r="B547" t="s">
        <v>543</v>
      </c>
    </row>
    <row r="548" spans="1:2" x14ac:dyDescent="0.25">
      <c r="A548" s="1">
        <v>573</v>
      </c>
      <c r="B548" t="s">
        <v>544</v>
      </c>
    </row>
    <row r="549" spans="1:2" x14ac:dyDescent="0.25">
      <c r="A549" s="1">
        <v>574</v>
      </c>
      <c r="B549" t="s">
        <v>545</v>
      </c>
    </row>
    <row r="550" spans="1:2" x14ac:dyDescent="0.25">
      <c r="A550" s="1">
        <v>575</v>
      </c>
      <c r="B550" t="s">
        <v>546</v>
      </c>
    </row>
    <row r="551" spans="1:2" x14ac:dyDescent="0.25">
      <c r="A551" s="1">
        <v>597</v>
      </c>
      <c r="B551" t="s">
        <v>547</v>
      </c>
    </row>
    <row r="552" spans="1:2" x14ac:dyDescent="0.25">
      <c r="A552" s="1">
        <v>598</v>
      </c>
      <c r="B552" t="s">
        <v>548</v>
      </c>
    </row>
    <row r="553" spans="1:2" x14ac:dyDescent="0.25">
      <c r="A553" s="1">
        <v>599</v>
      </c>
      <c r="B553" t="s">
        <v>549</v>
      </c>
    </row>
    <row r="554" spans="1:2" x14ac:dyDescent="0.25">
      <c r="A554" s="1">
        <v>600</v>
      </c>
      <c r="B554" t="s">
        <v>550</v>
      </c>
    </row>
    <row r="555" spans="1:2" x14ac:dyDescent="0.25">
      <c r="A555" s="1">
        <v>601</v>
      </c>
      <c r="B555" t="s">
        <v>551</v>
      </c>
    </row>
    <row r="556" spans="1:2" x14ac:dyDescent="0.25">
      <c r="A556" s="1">
        <v>602</v>
      </c>
      <c r="B556" t="s">
        <v>552</v>
      </c>
    </row>
    <row r="557" spans="1:2" x14ac:dyDescent="0.25">
      <c r="A557" s="1">
        <v>603</v>
      </c>
      <c r="B557" t="s">
        <v>553</v>
      </c>
    </row>
    <row r="558" spans="1:2" x14ac:dyDescent="0.25">
      <c r="A558" s="1">
        <v>604</v>
      </c>
      <c r="B558" t="s">
        <v>3735</v>
      </c>
    </row>
    <row r="559" spans="1:2" x14ac:dyDescent="0.25">
      <c r="A559" s="1">
        <v>605</v>
      </c>
      <c r="B559" t="s">
        <v>554</v>
      </c>
    </row>
    <row r="560" spans="1:2" x14ac:dyDescent="0.25">
      <c r="A560" s="1">
        <v>606</v>
      </c>
      <c r="B560" t="s">
        <v>555</v>
      </c>
    </row>
    <row r="561" spans="1:2" x14ac:dyDescent="0.25">
      <c r="A561" s="1">
        <v>607</v>
      </c>
      <c r="B561" t="s">
        <v>3736</v>
      </c>
    </row>
    <row r="562" spans="1:2" x14ac:dyDescent="0.25">
      <c r="A562" s="1">
        <v>608</v>
      </c>
      <c r="B562" t="s">
        <v>556</v>
      </c>
    </row>
    <row r="563" spans="1:2" x14ac:dyDescent="0.25">
      <c r="A563" s="1">
        <v>609</v>
      </c>
      <c r="B563" t="s">
        <v>557</v>
      </c>
    </row>
    <row r="564" spans="1:2" x14ac:dyDescent="0.25">
      <c r="A564" s="1">
        <v>610</v>
      </c>
      <c r="B564" t="s">
        <v>558</v>
      </c>
    </row>
    <row r="565" spans="1:2" x14ac:dyDescent="0.25">
      <c r="A565" s="1">
        <v>611</v>
      </c>
      <c r="B565" t="s">
        <v>559</v>
      </c>
    </row>
    <row r="566" spans="1:2" x14ac:dyDescent="0.25">
      <c r="A566" s="1">
        <v>612</v>
      </c>
      <c r="B566" t="s">
        <v>560</v>
      </c>
    </row>
    <row r="567" spans="1:2" x14ac:dyDescent="0.25">
      <c r="A567" s="1">
        <v>613</v>
      </c>
      <c r="B567" t="s">
        <v>561</v>
      </c>
    </row>
    <row r="568" spans="1:2" x14ac:dyDescent="0.25">
      <c r="A568" s="1">
        <v>614</v>
      </c>
      <c r="B568" t="s">
        <v>562</v>
      </c>
    </row>
    <row r="569" spans="1:2" x14ac:dyDescent="0.25">
      <c r="A569" s="1">
        <v>615</v>
      </c>
      <c r="B569" t="s">
        <v>563</v>
      </c>
    </row>
    <row r="570" spans="1:2" x14ac:dyDescent="0.25">
      <c r="A570" s="1">
        <v>616</v>
      </c>
      <c r="B570" t="s">
        <v>564</v>
      </c>
    </row>
    <row r="571" spans="1:2" x14ac:dyDescent="0.25">
      <c r="A571" s="1">
        <v>617</v>
      </c>
      <c r="B571" t="s">
        <v>565</v>
      </c>
    </row>
    <row r="572" spans="1:2" x14ac:dyDescent="0.25">
      <c r="A572" s="1">
        <v>618</v>
      </c>
      <c r="B572" t="s">
        <v>566</v>
      </c>
    </row>
    <row r="573" spans="1:2" x14ac:dyDescent="0.25">
      <c r="A573" s="1">
        <v>619</v>
      </c>
      <c r="B573" t="s">
        <v>567</v>
      </c>
    </row>
    <row r="574" spans="1:2" x14ac:dyDescent="0.25">
      <c r="A574" s="1">
        <v>620</v>
      </c>
      <c r="B574" t="s">
        <v>568</v>
      </c>
    </row>
    <row r="575" spans="1:2" x14ac:dyDescent="0.25">
      <c r="A575" s="1">
        <v>621</v>
      </c>
      <c r="B575" t="s">
        <v>569</v>
      </c>
    </row>
    <row r="576" spans="1:2" x14ac:dyDescent="0.25">
      <c r="A576" s="1">
        <v>622</v>
      </c>
      <c r="B576" t="s">
        <v>570</v>
      </c>
    </row>
    <row r="577" spans="1:2" x14ac:dyDescent="0.25">
      <c r="A577" s="1">
        <v>623</v>
      </c>
      <c r="B577" t="s">
        <v>571</v>
      </c>
    </row>
    <row r="578" spans="1:2" x14ac:dyDescent="0.25">
      <c r="A578" s="1">
        <v>624</v>
      </c>
      <c r="B578" t="s">
        <v>572</v>
      </c>
    </row>
    <row r="579" spans="1:2" x14ac:dyDescent="0.25">
      <c r="A579" s="1">
        <v>625</v>
      </c>
      <c r="B579" t="s">
        <v>569</v>
      </c>
    </row>
    <row r="580" spans="1:2" x14ac:dyDescent="0.25">
      <c r="A580" s="1">
        <v>626</v>
      </c>
      <c r="B580" t="s">
        <v>573</v>
      </c>
    </row>
    <row r="581" spans="1:2" x14ac:dyDescent="0.25">
      <c r="A581" s="1">
        <v>627</v>
      </c>
      <c r="B581" t="s">
        <v>569</v>
      </c>
    </row>
    <row r="582" spans="1:2" x14ac:dyDescent="0.25">
      <c r="A582" s="1">
        <v>628</v>
      </c>
      <c r="B582" t="s">
        <v>574</v>
      </c>
    </row>
    <row r="583" spans="1:2" x14ac:dyDescent="0.25">
      <c r="A583" s="1">
        <v>629</v>
      </c>
      <c r="B583" t="s">
        <v>575</v>
      </c>
    </row>
    <row r="584" spans="1:2" x14ac:dyDescent="0.25">
      <c r="A584" s="1">
        <v>630</v>
      </c>
      <c r="B584" t="s">
        <v>576</v>
      </c>
    </row>
    <row r="585" spans="1:2" x14ac:dyDescent="0.25">
      <c r="A585" s="1">
        <v>631</v>
      </c>
      <c r="B585" t="s">
        <v>577</v>
      </c>
    </row>
    <row r="586" spans="1:2" x14ac:dyDescent="0.25">
      <c r="A586" s="1">
        <v>632</v>
      </c>
      <c r="B586" t="s">
        <v>578</v>
      </c>
    </row>
    <row r="587" spans="1:2" x14ac:dyDescent="0.25">
      <c r="A587" s="1">
        <v>633</v>
      </c>
      <c r="B587" t="s">
        <v>579</v>
      </c>
    </row>
    <row r="588" spans="1:2" x14ac:dyDescent="0.25">
      <c r="A588" s="1">
        <v>634</v>
      </c>
      <c r="B588" t="s">
        <v>580</v>
      </c>
    </row>
    <row r="589" spans="1:2" x14ac:dyDescent="0.25">
      <c r="A589" s="1">
        <v>635</v>
      </c>
      <c r="B589" t="s">
        <v>581</v>
      </c>
    </row>
    <row r="590" spans="1:2" x14ac:dyDescent="0.25">
      <c r="A590" s="1">
        <v>636</v>
      </c>
      <c r="B590" t="s">
        <v>582</v>
      </c>
    </row>
    <row r="591" spans="1:2" x14ac:dyDescent="0.25">
      <c r="A591" s="1">
        <v>637</v>
      </c>
      <c r="B591" t="s">
        <v>583</v>
      </c>
    </row>
    <row r="592" spans="1:2" x14ac:dyDescent="0.25">
      <c r="A592" s="1">
        <v>638</v>
      </c>
      <c r="B592" t="s">
        <v>584</v>
      </c>
    </row>
    <row r="593" spans="1:2" x14ac:dyDescent="0.25">
      <c r="A593" s="1">
        <v>639</v>
      </c>
      <c r="B593" t="s">
        <v>585</v>
      </c>
    </row>
    <row r="594" spans="1:2" x14ac:dyDescent="0.25">
      <c r="A594" s="1">
        <v>652</v>
      </c>
      <c r="B594" t="s">
        <v>586</v>
      </c>
    </row>
    <row r="595" spans="1:2" x14ac:dyDescent="0.25">
      <c r="A595" s="1">
        <v>653</v>
      </c>
      <c r="B595" t="s">
        <v>587</v>
      </c>
    </row>
    <row r="596" spans="1:2" x14ac:dyDescent="0.25">
      <c r="A596" s="1">
        <v>654</v>
      </c>
      <c r="B596" t="s">
        <v>588</v>
      </c>
    </row>
    <row r="597" spans="1:2" x14ac:dyDescent="0.25">
      <c r="A597" s="1">
        <v>655</v>
      </c>
      <c r="B597" t="s">
        <v>589</v>
      </c>
    </row>
    <row r="598" spans="1:2" x14ac:dyDescent="0.25">
      <c r="A598" s="1">
        <v>656</v>
      </c>
      <c r="B598" t="s">
        <v>590</v>
      </c>
    </row>
    <row r="599" spans="1:2" x14ac:dyDescent="0.25">
      <c r="A599" s="1">
        <v>657</v>
      </c>
      <c r="B599" t="s">
        <v>591</v>
      </c>
    </row>
    <row r="600" spans="1:2" x14ac:dyDescent="0.25">
      <c r="A600" s="1">
        <v>658</v>
      </c>
      <c r="B600" t="s">
        <v>592</v>
      </c>
    </row>
    <row r="601" spans="1:2" x14ac:dyDescent="0.25">
      <c r="A601" s="1">
        <v>659</v>
      </c>
      <c r="B601" t="s">
        <v>593</v>
      </c>
    </row>
    <row r="602" spans="1:2" x14ac:dyDescent="0.25">
      <c r="A602" s="1">
        <v>660</v>
      </c>
      <c r="B602" t="s">
        <v>594</v>
      </c>
    </row>
    <row r="603" spans="1:2" x14ac:dyDescent="0.25">
      <c r="A603" s="1">
        <v>661</v>
      </c>
      <c r="B603" t="s">
        <v>595</v>
      </c>
    </row>
    <row r="604" spans="1:2" x14ac:dyDescent="0.25">
      <c r="A604" s="1">
        <v>662</v>
      </c>
      <c r="B604" t="s">
        <v>596</v>
      </c>
    </row>
    <row r="605" spans="1:2" x14ac:dyDescent="0.25">
      <c r="A605" s="1">
        <v>663</v>
      </c>
      <c r="B605" t="s">
        <v>597</v>
      </c>
    </row>
    <row r="606" spans="1:2" x14ac:dyDescent="0.25">
      <c r="A606" s="1">
        <v>664</v>
      </c>
      <c r="B606" t="s">
        <v>598</v>
      </c>
    </row>
    <row r="607" spans="1:2" x14ac:dyDescent="0.25">
      <c r="A607" s="1">
        <v>665</v>
      </c>
      <c r="B607" t="s">
        <v>599</v>
      </c>
    </row>
    <row r="608" spans="1:2" x14ac:dyDescent="0.25">
      <c r="A608" s="1">
        <v>666</v>
      </c>
      <c r="B608" t="s">
        <v>600</v>
      </c>
    </row>
    <row r="609" spans="1:2" x14ac:dyDescent="0.25">
      <c r="A609" s="1">
        <v>667</v>
      </c>
      <c r="B609" t="s">
        <v>601</v>
      </c>
    </row>
    <row r="610" spans="1:2" x14ac:dyDescent="0.25">
      <c r="A610" s="1">
        <v>668</v>
      </c>
      <c r="B610" t="s">
        <v>602</v>
      </c>
    </row>
    <row r="611" spans="1:2" x14ac:dyDescent="0.25">
      <c r="A611" s="1">
        <v>669</v>
      </c>
      <c r="B611" t="s">
        <v>603</v>
      </c>
    </row>
    <row r="612" spans="1:2" x14ac:dyDescent="0.25">
      <c r="A612" s="1">
        <v>670</v>
      </c>
      <c r="B612" t="s">
        <v>604</v>
      </c>
    </row>
    <row r="613" spans="1:2" x14ac:dyDescent="0.25">
      <c r="A613" s="1">
        <v>671</v>
      </c>
      <c r="B613" t="s">
        <v>605</v>
      </c>
    </row>
    <row r="614" spans="1:2" x14ac:dyDescent="0.25">
      <c r="A614" s="1">
        <v>672</v>
      </c>
      <c r="B614" t="s">
        <v>606</v>
      </c>
    </row>
    <row r="615" spans="1:2" x14ac:dyDescent="0.25">
      <c r="A615" s="1">
        <v>673</v>
      </c>
      <c r="B615" t="s">
        <v>607</v>
      </c>
    </row>
    <row r="616" spans="1:2" x14ac:dyDescent="0.25">
      <c r="A616" s="1">
        <v>674</v>
      </c>
      <c r="B616" t="s">
        <v>608</v>
      </c>
    </row>
    <row r="617" spans="1:2" x14ac:dyDescent="0.25">
      <c r="A617" s="1">
        <v>675</v>
      </c>
      <c r="B617" t="s">
        <v>609</v>
      </c>
    </row>
    <row r="618" spans="1:2" x14ac:dyDescent="0.25">
      <c r="A618" s="1">
        <v>676</v>
      </c>
      <c r="B618" t="s">
        <v>610</v>
      </c>
    </row>
    <row r="619" spans="1:2" x14ac:dyDescent="0.25">
      <c r="A619" s="1">
        <v>677</v>
      </c>
      <c r="B619" t="s">
        <v>611</v>
      </c>
    </row>
    <row r="620" spans="1:2" x14ac:dyDescent="0.25">
      <c r="A620" s="1">
        <v>678</v>
      </c>
      <c r="B620" t="s">
        <v>612</v>
      </c>
    </row>
    <row r="621" spans="1:2" x14ac:dyDescent="0.25">
      <c r="A621" s="1">
        <v>679</v>
      </c>
      <c r="B621" t="s">
        <v>613</v>
      </c>
    </row>
    <row r="622" spans="1:2" x14ac:dyDescent="0.25">
      <c r="A622" s="1">
        <v>680</v>
      </c>
      <c r="B622" t="s">
        <v>614</v>
      </c>
    </row>
    <row r="623" spans="1:2" x14ac:dyDescent="0.25">
      <c r="A623" s="1">
        <v>681</v>
      </c>
      <c r="B623" t="s">
        <v>615</v>
      </c>
    </row>
    <row r="624" spans="1:2" x14ac:dyDescent="0.25">
      <c r="A624" s="1">
        <v>700</v>
      </c>
      <c r="B624" t="s">
        <v>616</v>
      </c>
    </row>
    <row r="625" spans="1:2" x14ac:dyDescent="0.25">
      <c r="A625" s="1">
        <v>701</v>
      </c>
      <c r="B625" t="s">
        <v>617</v>
      </c>
    </row>
    <row r="626" spans="1:2" x14ac:dyDescent="0.25">
      <c r="A626" s="1">
        <v>702</v>
      </c>
      <c r="B626" t="s">
        <v>618</v>
      </c>
    </row>
    <row r="627" spans="1:2" x14ac:dyDescent="0.25">
      <c r="A627" s="1">
        <v>703</v>
      </c>
      <c r="B627" t="s">
        <v>619</v>
      </c>
    </row>
    <row r="628" spans="1:2" x14ac:dyDescent="0.25">
      <c r="A628" s="1">
        <v>704</v>
      </c>
      <c r="B628" t="s">
        <v>620</v>
      </c>
    </row>
    <row r="629" spans="1:2" x14ac:dyDescent="0.25">
      <c r="A629" s="1">
        <v>705</v>
      </c>
      <c r="B629" t="s">
        <v>621</v>
      </c>
    </row>
    <row r="630" spans="1:2" x14ac:dyDescent="0.25">
      <c r="A630" s="1">
        <v>706</v>
      </c>
      <c r="B630" t="s">
        <v>622</v>
      </c>
    </row>
    <row r="631" spans="1:2" x14ac:dyDescent="0.25">
      <c r="A631" s="1">
        <v>707</v>
      </c>
      <c r="B631" t="s">
        <v>623</v>
      </c>
    </row>
    <row r="632" spans="1:2" x14ac:dyDescent="0.25">
      <c r="A632" s="1">
        <v>708</v>
      </c>
      <c r="B632" t="s">
        <v>624</v>
      </c>
    </row>
    <row r="633" spans="1:2" x14ac:dyDescent="0.25">
      <c r="A633" s="1">
        <v>709</v>
      </c>
      <c r="B633" t="s">
        <v>625</v>
      </c>
    </row>
    <row r="634" spans="1:2" x14ac:dyDescent="0.25">
      <c r="A634" s="1">
        <v>710</v>
      </c>
      <c r="B634" t="s">
        <v>626</v>
      </c>
    </row>
    <row r="635" spans="1:2" x14ac:dyDescent="0.25">
      <c r="A635" s="1">
        <v>711</v>
      </c>
      <c r="B635" t="s">
        <v>627</v>
      </c>
    </row>
    <row r="636" spans="1:2" x14ac:dyDescent="0.25">
      <c r="A636" s="1">
        <v>712</v>
      </c>
      <c r="B636" t="s">
        <v>628</v>
      </c>
    </row>
    <row r="637" spans="1:2" x14ac:dyDescent="0.25">
      <c r="A637" s="1">
        <v>714</v>
      </c>
      <c r="B637" t="s">
        <v>629</v>
      </c>
    </row>
    <row r="638" spans="1:2" x14ac:dyDescent="0.25">
      <c r="A638" s="1">
        <v>715</v>
      </c>
      <c r="B638" t="s">
        <v>630</v>
      </c>
    </row>
    <row r="639" spans="1:2" x14ac:dyDescent="0.25">
      <c r="A639" s="1">
        <v>716</v>
      </c>
      <c r="B639" t="s">
        <v>631</v>
      </c>
    </row>
    <row r="640" spans="1:2" x14ac:dyDescent="0.25">
      <c r="A640" s="1">
        <v>717</v>
      </c>
      <c r="B640" t="s">
        <v>632</v>
      </c>
    </row>
    <row r="641" spans="1:2" x14ac:dyDescent="0.25">
      <c r="A641" s="1">
        <v>718</v>
      </c>
      <c r="B641" t="s">
        <v>633</v>
      </c>
    </row>
    <row r="642" spans="1:2" x14ac:dyDescent="0.25">
      <c r="A642" s="1">
        <v>719</v>
      </c>
      <c r="B642" t="s">
        <v>634</v>
      </c>
    </row>
    <row r="643" spans="1:2" x14ac:dyDescent="0.25">
      <c r="A643" s="1">
        <v>720</v>
      </c>
      <c r="B643" t="s">
        <v>635</v>
      </c>
    </row>
    <row r="644" spans="1:2" x14ac:dyDescent="0.25">
      <c r="A644" s="1">
        <v>721</v>
      </c>
      <c r="B644" t="s">
        <v>636</v>
      </c>
    </row>
    <row r="645" spans="1:2" x14ac:dyDescent="0.25">
      <c r="A645" s="1">
        <v>722</v>
      </c>
      <c r="B645" t="s">
        <v>637</v>
      </c>
    </row>
    <row r="646" spans="1:2" x14ac:dyDescent="0.25">
      <c r="A646" s="1">
        <v>723</v>
      </c>
      <c r="B646" t="s">
        <v>638</v>
      </c>
    </row>
    <row r="647" spans="1:2" x14ac:dyDescent="0.25">
      <c r="A647" s="1">
        <v>724</v>
      </c>
      <c r="B647" t="s">
        <v>639</v>
      </c>
    </row>
    <row r="648" spans="1:2" x14ac:dyDescent="0.25">
      <c r="A648" s="1">
        <v>725</v>
      </c>
      <c r="B648" t="s">
        <v>640</v>
      </c>
    </row>
    <row r="649" spans="1:2" x14ac:dyDescent="0.25">
      <c r="A649" s="1">
        <v>726</v>
      </c>
      <c r="B649" t="s">
        <v>641</v>
      </c>
    </row>
    <row r="650" spans="1:2" x14ac:dyDescent="0.25">
      <c r="A650" s="1">
        <v>727</v>
      </c>
      <c r="B650" t="s">
        <v>642</v>
      </c>
    </row>
    <row r="651" spans="1:2" x14ac:dyDescent="0.25">
      <c r="A651" s="1">
        <v>728</v>
      </c>
      <c r="B651" t="s">
        <v>643</v>
      </c>
    </row>
    <row r="652" spans="1:2" x14ac:dyDescent="0.25">
      <c r="A652" s="1">
        <v>729</v>
      </c>
      <c r="B652" t="s">
        <v>644</v>
      </c>
    </row>
    <row r="653" spans="1:2" x14ac:dyDescent="0.25">
      <c r="A653" s="1">
        <v>730</v>
      </c>
      <c r="B653" t="s">
        <v>645</v>
      </c>
    </row>
    <row r="654" spans="1:2" x14ac:dyDescent="0.25">
      <c r="A654" s="1">
        <v>731</v>
      </c>
      <c r="B654" t="s">
        <v>646</v>
      </c>
    </row>
    <row r="655" spans="1:2" x14ac:dyDescent="0.25">
      <c r="A655" s="1">
        <v>732</v>
      </c>
      <c r="B655" t="s">
        <v>647</v>
      </c>
    </row>
    <row r="656" spans="1:2" x14ac:dyDescent="0.25">
      <c r="A656" s="1">
        <v>733</v>
      </c>
      <c r="B656" t="s">
        <v>648</v>
      </c>
    </row>
    <row r="657" spans="1:2" x14ac:dyDescent="0.25">
      <c r="A657" s="1">
        <v>734</v>
      </c>
      <c r="B657" t="s">
        <v>649</v>
      </c>
    </row>
    <row r="658" spans="1:2" x14ac:dyDescent="0.25">
      <c r="A658" s="1">
        <v>735</v>
      </c>
      <c r="B658" t="s">
        <v>650</v>
      </c>
    </row>
    <row r="659" spans="1:2" x14ac:dyDescent="0.25">
      <c r="A659" s="1">
        <v>736</v>
      </c>
      <c r="B659" t="s">
        <v>651</v>
      </c>
    </row>
    <row r="660" spans="1:2" x14ac:dyDescent="0.25">
      <c r="A660" s="1">
        <v>737</v>
      </c>
      <c r="B660" t="s">
        <v>652</v>
      </c>
    </row>
    <row r="661" spans="1:2" x14ac:dyDescent="0.25">
      <c r="A661" s="1">
        <v>741</v>
      </c>
      <c r="B661" t="s">
        <v>653</v>
      </c>
    </row>
    <row r="662" spans="1:2" x14ac:dyDescent="0.25">
      <c r="A662" s="1">
        <v>742</v>
      </c>
      <c r="B662" t="s">
        <v>654</v>
      </c>
    </row>
    <row r="663" spans="1:2" x14ac:dyDescent="0.25">
      <c r="A663" s="1">
        <v>750</v>
      </c>
      <c r="B663" t="s">
        <v>655</v>
      </c>
    </row>
    <row r="664" spans="1:2" x14ac:dyDescent="0.25">
      <c r="A664" s="1">
        <v>751</v>
      </c>
      <c r="B664" t="s">
        <v>655</v>
      </c>
    </row>
    <row r="665" spans="1:2" x14ac:dyDescent="0.25">
      <c r="A665" s="1">
        <v>752</v>
      </c>
      <c r="B665" t="s">
        <v>655</v>
      </c>
    </row>
    <row r="666" spans="1:2" x14ac:dyDescent="0.25">
      <c r="A666" s="1">
        <v>753</v>
      </c>
      <c r="B666" t="s">
        <v>655</v>
      </c>
    </row>
    <row r="667" spans="1:2" x14ac:dyDescent="0.25">
      <c r="A667" s="1">
        <v>754</v>
      </c>
      <c r="B667" t="s">
        <v>655</v>
      </c>
    </row>
    <row r="668" spans="1:2" x14ac:dyDescent="0.25">
      <c r="A668" s="1">
        <v>755</v>
      </c>
      <c r="B668" t="s">
        <v>655</v>
      </c>
    </row>
    <row r="669" spans="1:2" x14ac:dyDescent="0.25">
      <c r="A669" s="1">
        <v>756</v>
      </c>
      <c r="B669" t="s">
        <v>655</v>
      </c>
    </row>
    <row r="670" spans="1:2" x14ac:dyDescent="0.25">
      <c r="A670" s="1">
        <v>757</v>
      </c>
      <c r="B670" t="s">
        <v>655</v>
      </c>
    </row>
    <row r="671" spans="1:2" x14ac:dyDescent="0.25">
      <c r="A671" s="1">
        <v>758</v>
      </c>
      <c r="B671" t="s">
        <v>655</v>
      </c>
    </row>
    <row r="672" spans="1:2" x14ac:dyDescent="0.25">
      <c r="A672" s="1">
        <v>759</v>
      </c>
      <c r="B672" t="s">
        <v>655</v>
      </c>
    </row>
    <row r="673" spans="1:2" x14ac:dyDescent="0.25">
      <c r="A673" s="1">
        <v>760</v>
      </c>
      <c r="B673" t="s">
        <v>655</v>
      </c>
    </row>
    <row r="674" spans="1:2" x14ac:dyDescent="0.25">
      <c r="A674" s="1">
        <v>761</v>
      </c>
      <c r="B674" t="s">
        <v>655</v>
      </c>
    </row>
    <row r="675" spans="1:2" x14ac:dyDescent="0.25">
      <c r="A675" s="1">
        <v>762</v>
      </c>
      <c r="B675" t="s">
        <v>655</v>
      </c>
    </row>
    <row r="676" spans="1:2" x14ac:dyDescent="0.25">
      <c r="A676" s="1">
        <v>763</v>
      </c>
      <c r="B676" t="s">
        <v>655</v>
      </c>
    </row>
    <row r="677" spans="1:2" x14ac:dyDescent="0.25">
      <c r="A677" s="1">
        <v>764</v>
      </c>
      <c r="B677" t="s">
        <v>655</v>
      </c>
    </row>
    <row r="678" spans="1:2" x14ac:dyDescent="0.25">
      <c r="A678" s="1">
        <v>765</v>
      </c>
      <c r="B678" t="s">
        <v>655</v>
      </c>
    </row>
    <row r="679" spans="1:2" x14ac:dyDescent="0.25">
      <c r="A679" s="1">
        <v>766</v>
      </c>
      <c r="B679" t="s">
        <v>655</v>
      </c>
    </row>
    <row r="680" spans="1:2" x14ac:dyDescent="0.25">
      <c r="A680" s="1">
        <v>767</v>
      </c>
      <c r="B680" t="s">
        <v>655</v>
      </c>
    </row>
    <row r="681" spans="1:2" x14ac:dyDescent="0.25">
      <c r="A681" s="1">
        <v>768</v>
      </c>
      <c r="B681" t="s">
        <v>655</v>
      </c>
    </row>
    <row r="682" spans="1:2" x14ac:dyDescent="0.25">
      <c r="A682" s="1">
        <v>769</v>
      </c>
      <c r="B682" t="s">
        <v>655</v>
      </c>
    </row>
    <row r="683" spans="1:2" x14ac:dyDescent="0.25">
      <c r="A683" s="1">
        <v>770</v>
      </c>
      <c r="B683" t="s">
        <v>655</v>
      </c>
    </row>
    <row r="684" spans="1:2" x14ac:dyDescent="0.25">
      <c r="A684" s="1">
        <v>771</v>
      </c>
      <c r="B684" t="s">
        <v>655</v>
      </c>
    </row>
    <row r="685" spans="1:2" x14ac:dyDescent="0.25">
      <c r="A685" s="1">
        <v>773</v>
      </c>
      <c r="B685" t="s">
        <v>655</v>
      </c>
    </row>
    <row r="686" spans="1:2" x14ac:dyDescent="0.25">
      <c r="A686" s="1">
        <v>774</v>
      </c>
      <c r="B686" t="s">
        <v>655</v>
      </c>
    </row>
    <row r="687" spans="1:2" x14ac:dyDescent="0.25">
      <c r="A687" s="1">
        <v>775</v>
      </c>
      <c r="B687" t="s">
        <v>655</v>
      </c>
    </row>
    <row r="688" spans="1:2" x14ac:dyDescent="0.25">
      <c r="A688" s="1">
        <v>776</v>
      </c>
      <c r="B688" t="s">
        <v>655</v>
      </c>
    </row>
    <row r="689" spans="1:2" x14ac:dyDescent="0.25">
      <c r="A689" s="1">
        <v>777</v>
      </c>
      <c r="B689" t="s">
        <v>655</v>
      </c>
    </row>
    <row r="690" spans="1:2" x14ac:dyDescent="0.25">
      <c r="A690" s="1">
        <v>798</v>
      </c>
      <c r="B690" t="s">
        <v>655</v>
      </c>
    </row>
    <row r="691" spans="1:2" x14ac:dyDescent="0.25">
      <c r="A691" s="1">
        <v>799</v>
      </c>
      <c r="B691" t="s">
        <v>655</v>
      </c>
    </row>
    <row r="692" spans="1:2" x14ac:dyDescent="0.25">
      <c r="A692" s="1">
        <v>800</v>
      </c>
      <c r="B692" t="s">
        <v>656</v>
      </c>
    </row>
    <row r="693" spans="1:2" x14ac:dyDescent="0.25">
      <c r="A693" s="1">
        <v>801</v>
      </c>
      <c r="B693" t="s">
        <v>657</v>
      </c>
    </row>
    <row r="694" spans="1:2" x14ac:dyDescent="0.25">
      <c r="A694" s="1">
        <v>802</v>
      </c>
      <c r="B694" t="s">
        <v>658</v>
      </c>
    </row>
    <row r="695" spans="1:2" x14ac:dyDescent="0.25">
      <c r="A695" s="1">
        <v>803</v>
      </c>
      <c r="B695" t="s">
        <v>659</v>
      </c>
    </row>
    <row r="696" spans="1:2" x14ac:dyDescent="0.25">
      <c r="A696" s="1">
        <v>804</v>
      </c>
      <c r="B696" t="s">
        <v>660</v>
      </c>
    </row>
    <row r="697" spans="1:2" x14ac:dyDescent="0.25">
      <c r="A697" s="1">
        <v>805</v>
      </c>
      <c r="B697" t="s">
        <v>661</v>
      </c>
    </row>
    <row r="698" spans="1:2" x14ac:dyDescent="0.25">
      <c r="A698" s="1">
        <v>806</v>
      </c>
      <c r="B698" t="s">
        <v>662</v>
      </c>
    </row>
    <row r="699" spans="1:2" x14ac:dyDescent="0.25">
      <c r="A699" s="1">
        <v>808</v>
      </c>
      <c r="B699" t="s">
        <v>663</v>
      </c>
    </row>
    <row r="700" spans="1:2" x14ac:dyDescent="0.25">
      <c r="A700" s="1">
        <v>809</v>
      </c>
      <c r="B700" t="s">
        <v>664</v>
      </c>
    </row>
    <row r="701" spans="1:2" x14ac:dyDescent="0.25">
      <c r="A701" s="1">
        <v>810</v>
      </c>
      <c r="B701" t="s">
        <v>665</v>
      </c>
    </row>
    <row r="702" spans="1:2" x14ac:dyDescent="0.25">
      <c r="A702" s="1">
        <v>811</v>
      </c>
      <c r="B702" t="s">
        <v>666</v>
      </c>
    </row>
    <row r="703" spans="1:2" x14ac:dyDescent="0.25">
      <c r="A703" s="1">
        <v>812</v>
      </c>
      <c r="B703" t="s">
        <v>667</v>
      </c>
    </row>
    <row r="704" spans="1:2" x14ac:dyDescent="0.25">
      <c r="A704" s="1">
        <v>813</v>
      </c>
      <c r="B704" t="s">
        <v>668</v>
      </c>
    </row>
    <row r="705" spans="1:2" x14ac:dyDescent="0.25">
      <c r="A705" s="1">
        <v>814</v>
      </c>
      <c r="B705" t="s">
        <v>669</v>
      </c>
    </row>
    <row r="706" spans="1:2" x14ac:dyDescent="0.25">
      <c r="A706" s="1">
        <v>815</v>
      </c>
      <c r="B706" t="s">
        <v>670</v>
      </c>
    </row>
    <row r="707" spans="1:2" x14ac:dyDescent="0.25">
      <c r="A707" s="1">
        <v>816</v>
      </c>
      <c r="B707" t="s">
        <v>671</v>
      </c>
    </row>
    <row r="708" spans="1:2" x14ac:dyDescent="0.25">
      <c r="A708" s="1">
        <v>817</v>
      </c>
      <c r="B708" t="s">
        <v>672</v>
      </c>
    </row>
    <row r="709" spans="1:2" x14ac:dyDescent="0.25">
      <c r="A709" s="1">
        <v>818</v>
      </c>
      <c r="B709" t="s">
        <v>673</v>
      </c>
    </row>
    <row r="710" spans="1:2" x14ac:dyDescent="0.25">
      <c r="A710" s="1">
        <v>819</v>
      </c>
      <c r="B710" t="s">
        <v>674</v>
      </c>
    </row>
    <row r="711" spans="1:2" x14ac:dyDescent="0.25">
      <c r="A711" s="1">
        <v>820</v>
      </c>
      <c r="B711" t="s">
        <v>675</v>
      </c>
    </row>
    <row r="712" spans="1:2" x14ac:dyDescent="0.25">
      <c r="A712" s="1">
        <v>821</v>
      </c>
      <c r="B712" t="s">
        <v>676</v>
      </c>
    </row>
    <row r="713" spans="1:2" x14ac:dyDescent="0.25">
      <c r="A713" s="1">
        <v>822</v>
      </c>
      <c r="B713" t="s">
        <v>677</v>
      </c>
    </row>
    <row r="714" spans="1:2" x14ac:dyDescent="0.25">
      <c r="A714" s="1">
        <v>823</v>
      </c>
      <c r="B714" t="s">
        <v>678</v>
      </c>
    </row>
    <row r="715" spans="1:2" x14ac:dyDescent="0.25">
      <c r="A715" s="1">
        <v>824</v>
      </c>
      <c r="B715" t="s">
        <v>679</v>
      </c>
    </row>
    <row r="716" spans="1:2" x14ac:dyDescent="0.25">
      <c r="A716" s="1">
        <v>825</v>
      </c>
      <c r="B716" t="s">
        <v>680</v>
      </c>
    </row>
    <row r="717" spans="1:2" x14ac:dyDescent="0.25">
      <c r="A717" s="1">
        <v>826</v>
      </c>
      <c r="B717" t="s">
        <v>681</v>
      </c>
    </row>
    <row r="718" spans="1:2" x14ac:dyDescent="0.25">
      <c r="A718" s="1">
        <v>827</v>
      </c>
      <c r="B718" t="s">
        <v>682</v>
      </c>
    </row>
    <row r="719" spans="1:2" x14ac:dyDescent="0.25">
      <c r="A719" s="1">
        <v>828</v>
      </c>
      <c r="B719" t="s">
        <v>683</v>
      </c>
    </row>
    <row r="720" spans="1:2" x14ac:dyDescent="0.25">
      <c r="A720" s="1">
        <v>829</v>
      </c>
      <c r="B720" t="s">
        <v>684</v>
      </c>
    </row>
    <row r="721" spans="1:2" x14ac:dyDescent="0.25">
      <c r="A721" s="1">
        <v>830</v>
      </c>
      <c r="B721" t="s">
        <v>685</v>
      </c>
    </row>
    <row r="722" spans="1:2" x14ac:dyDescent="0.25">
      <c r="A722" s="1">
        <v>831</v>
      </c>
      <c r="B722" t="s">
        <v>686</v>
      </c>
    </row>
    <row r="723" spans="1:2" x14ac:dyDescent="0.25">
      <c r="A723" s="1">
        <v>832</v>
      </c>
      <c r="B723" t="s">
        <v>687</v>
      </c>
    </row>
    <row r="724" spans="1:2" x14ac:dyDescent="0.25">
      <c r="A724" s="1">
        <v>833</v>
      </c>
      <c r="B724" t="s">
        <v>688</v>
      </c>
    </row>
    <row r="725" spans="1:2" x14ac:dyDescent="0.25">
      <c r="A725" s="1">
        <v>834</v>
      </c>
      <c r="B725" t="s">
        <v>689</v>
      </c>
    </row>
    <row r="726" spans="1:2" x14ac:dyDescent="0.25">
      <c r="A726" s="1">
        <v>835</v>
      </c>
      <c r="B726" t="s">
        <v>690</v>
      </c>
    </row>
    <row r="727" spans="1:2" x14ac:dyDescent="0.25">
      <c r="A727" s="1">
        <v>836</v>
      </c>
      <c r="B727" t="s">
        <v>691</v>
      </c>
    </row>
    <row r="728" spans="1:2" x14ac:dyDescent="0.25">
      <c r="A728" s="1">
        <v>837</v>
      </c>
      <c r="B728" t="s">
        <v>692</v>
      </c>
    </row>
    <row r="729" spans="1:2" x14ac:dyDescent="0.25">
      <c r="A729" s="1">
        <v>838</v>
      </c>
      <c r="B729" t="s">
        <v>693</v>
      </c>
    </row>
    <row r="730" spans="1:2" x14ac:dyDescent="0.25">
      <c r="A730" s="1">
        <v>839</v>
      </c>
      <c r="B730" t="s">
        <v>694</v>
      </c>
    </row>
    <row r="731" spans="1:2" x14ac:dyDescent="0.25">
      <c r="A731" s="1">
        <v>870</v>
      </c>
      <c r="B731" t="s">
        <v>695</v>
      </c>
    </row>
    <row r="732" spans="1:2" x14ac:dyDescent="0.25">
      <c r="A732" s="1">
        <v>871</v>
      </c>
      <c r="B732" t="s">
        <v>696</v>
      </c>
    </row>
    <row r="733" spans="1:2" x14ac:dyDescent="0.25">
      <c r="A733" s="1">
        <v>872</v>
      </c>
      <c r="B733" t="s">
        <v>697</v>
      </c>
    </row>
    <row r="734" spans="1:2" x14ac:dyDescent="0.25">
      <c r="A734" s="1">
        <v>873</v>
      </c>
      <c r="B734" t="s">
        <v>698</v>
      </c>
    </row>
    <row r="735" spans="1:2" x14ac:dyDescent="0.25">
      <c r="A735" s="1">
        <v>874</v>
      </c>
      <c r="B735" t="s">
        <v>699</v>
      </c>
    </row>
    <row r="736" spans="1:2" x14ac:dyDescent="0.25">
      <c r="A736" s="1">
        <v>875</v>
      </c>
      <c r="B736" t="s">
        <v>700</v>
      </c>
    </row>
    <row r="737" spans="1:2" x14ac:dyDescent="0.25">
      <c r="A737" s="1">
        <v>876</v>
      </c>
      <c r="B737" t="s">
        <v>701</v>
      </c>
    </row>
    <row r="738" spans="1:2" x14ac:dyDescent="0.25">
      <c r="A738" s="1">
        <v>877</v>
      </c>
      <c r="B738" t="s">
        <v>702</v>
      </c>
    </row>
    <row r="739" spans="1:2" x14ac:dyDescent="0.25">
      <c r="A739" s="1">
        <v>878</v>
      </c>
      <c r="B739" t="s">
        <v>703</v>
      </c>
    </row>
    <row r="740" spans="1:2" x14ac:dyDescent="0.25">
      <c r="A740" s="1">
        <v>879</v>
      </c>
      <c r="B740" t="s">
        <v>704</v>
      </c>
    </row>
    <row r="741" spans="1:2" x14ac:dyDescent="0.25">
      <c r="A741" s="1">
        <v>880</v>
      </c>
      <c r="B741" t="s">
        <v>705</v>
      </c>
    </row>
    <row r="742" spans="1:2" x14ac:dyDescent="0.25">
      <c r="A742" s="1">
        <v>881</v>
      </c>
      <c r="B742" t="s">
        <v>706</v>
      </c>
    </row>
    <row r="743" spans="1:2" x14ac:dyDescent="0.25">
      <c r="A743" s="1">
        <v>882</v>
      </c>
      <c r="B743" t="s">
        <v>707</v>
      </c>
    </row>
    <row r="744" spans="1:2" x14ac:dyDescent="0.25">
      <c r="A744" s="1">
        <v>883</v>
      </c>
      <c r="B744" t="s">
        <v>708</v>
      </c>
    </row>
    <row r="745" spans="1:2" x14ac:dyDescent="0.25">
      <c r="A745" s="1">
        <v>884</v>
      </c>
      <c r="B745" t="s">
        <v>709</v>
      </c>
    </row>
    <row r="746" spans="1:2" x14ac:dyDescent="0.25">
      <c r="A746" s="1">
        <v>885</v>
      </c>
      <c r="B746" t="s">
        <v>710</v>
      </c>
    </row>
    <row r="747" spans="1:2" x14ac:dyDescent="0.25">
      <c r="A747" s="1">
        <v>886</v>
      </c>
      <c r="B747" t="s">
        <v>711</v>
      </c>
    </row>
    <row r="748" spans="1:2" x14ac:dyDescent="0.25">
      <c r="A748" s="1">
        <v>887</v>
      </c>
      <c r="B748" t="s">
        <v>712</v>
      </c>
    </row>
    <row r="749" spans="1:2" x14ac:dyDescent="0.25">
      <c r="A749" s="1">
        <v>888</v>
      </c>
      <c r="B749" t="s">
        <v>713</v>
      </c>
    </row>
    <row r="750" spans="1:2" x14ac:dyDescent="0.25">
      <c r="A750" s="1">
        <v>889</v>
      </c>
      <c r="B750" t="s">
        <v>714</v>
      </c>
    </row>
    <row r="751" spans="1:2" x14ac:dyDescent="0.25">
      <c r="A751" s="1">
        <v>890</v>
      </c>
      <c r="B751" t="s">
        <v>715</v>
      </c>
    </row>
    <row r="752" spans="1:2" x14ac:dyDescent="0.25">
      <c r="A752" s="1">
        <v>891</v>
      </c>
      <c r="B752" t="s">
        <v>716</v>
      </c>
    </row>
    <row r="753" spans="1:2" x14ac:dyDescent="0.25">
      <c r="A753" s="1">
        <v>892</v>
      </c>
      <c r="B753" t="s">
        <v>717</v>
      </c>
    </row>
    <row r="754" spans="1:2" x14ac:dyDescent="0.25">
      <c r="A754" s="1">
        <v>893</v>
      </c>
      <c r="B754" t="s">
        <v>718</v>
      </c>
    </row>
    <row r="755" spans="1:2" x14ac:dyDescent="0.25">
      <c r="A755" s="1">
        <v>894</v>
      </c>
      <c r="B755" t="s">
        <v>719</v>
      </c>
    </row>
    <row r="756" spans="1:2" x14ac:dyDescent="0.25">
      <c r="A756" s="1">
        <v>895</v>
      </c>
      <c r="B756" t="s">
        <v>720</v>
      </c>
    </row>
    <row r="757" spans="1:2" x14ac:dyDescent="0.25">
      <c r="A757" s="1">
        <v>896</v>
      </c>
      <c r="B757" t="s">
        <v>721</v>
      </c>
    </row>
    <row r="758" spans="1:2" x14ac:dyDescent="0.25">
      <c r="A758" s="1">
        <v>897</v>
      </c>
      <c r="B758" t="s">
        <v>722</v>
      </c>
    </row>
    <row r="759" spans="1:2" x14ac:dyDescent="0.25">
      <c r="A759" s="1">
        <v>898</v>
      </c>
      <c r="B759" t="s">
        <v>723</v>
      </c>
    </row>
    <row r="760" spans="1:2" x14ac:dyDescent="0.25">
      <c r="A760" s="1">
        <v>899</v>
      </c>
      <c r="B760" t="s">
        <v>724</v>
      </c>
    </row>
    <row r="761" spans="1:2" x14ac:dyDescent="0.25">
      <c r="A761" s="1">
        <v>900</v>
      </c>
      <c r="B761" t="s">
        <v>725</v>
      </c>
    </row>
    <row r="762" spans="1:2" x14ac:dyDescent="0.25">
      <c r="A762" s="1">
        <v>901</v>
      </c>
      <c r="B762" t="s">
        <v>726</v>
      </c>
    </row>
    <row r="763" spans="1:2" x14ac:dyDescent="0.25">
      <c r="A763" s="1">
        <v>902</v>
      </c>
      <c r="B763" t="s">
        <v>727</v>
      </c>
    </row>
    <row r="764" spans="1:2" x14ac:dyDescent="0.25">
      <c r="A764" s="1">
        <v>903</v>
      </c>
      <c r="B764" t="s">
        <v>728</v>
      </c>
    </row>
    <row r="765" spans="1:2" x14ac:dyDescent="0.25">
      <c r="A765" s="1">
        <v>904</v>
      </c>
      <c r="B765" t="s">
        <v>729</v>
      </c>
    </row>
    <row r="766" spans="1:2" x14ac:dyDescent="0.25">
      <c r="A766" s="1">
        <v>913</v>
      </c>
      <c r="B766" t="s">
        <v>730</v>
      </c>
    </row>
    <row r="767" spans="1:2" x14ac:dyDescent="0.25">
      <c r="A767" s="1">
        <v>935</v>
      </c>
      <c r="B767" t="s">
        <v>731</v>
      </c>
    </row>
    <row r="768" spans="1:2" x14ac:dyDescent="0.25">
      <c r="A768" s="1">
        <v>940</v>
      </c>
      <c r="B768" t="s">
        <v>732</v>
      </c>
    </row>
    <row r="769" spans="1:2" x14ac:dyDescent="0.25">
      <c r="A769" s="1">
        <v>941</v>
      </c>
      <c r="B769" t="s">
        <v>733</v>
      </c>
    </row>
    <row r="770" spans="1:2" x14ac:dyDescent="0.25">
      <c r="A770" s="1">
        <v>985</v>
      </c>
      <c r="B770" t="s">
        <v>734</v>
      </c>
    </row>
    <row r="771" spans="1:2" x14ac:dyDescent="0.25">
      <c r="A771" s="1">
        <v>995</v>
      </c>
      <c r="B771" t="s">
        <v>735</v>
      </c>
    </row>
    <row r="772" spans="1:2" x14ac:dyDescent="0.25">
      <c r="A772" s="1">
        <v>996</v>
      </c>
      <c r="B772" t="s">
        <v>736</v>
      </c>
    </row>
    <row r="773" spans="1:2" x14ac:dyDescent="0.25">
      <c r="A773" s="1">
        <v>998</v>
      </c>
      <c r="B773" t="s">
        <v>737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topLeftCell="A34" workbookViewId="0">
      <selection activeCell="B17" sqref="B17"/>
    </sheetView>
  </sheetViews>
  <sheetFormatPr defaultRowHeight="15" x14ac:dyDescent="0.25"/>
  <cols>
    <col min="1" max="1" width="22" style="1" customWidth="1"/>
    <col min="2" max="2" width="56" customWidth="1"/>
  </cols>
  <sheetData>
    <row r="1" spans="1:2" ht="36" customHeight="1" x14ac:dyDescent="0.25">
      <c r="A1" s="2" t="s">
        <v>738</v>
      </c>
      <c r="B1" s="2" t="s">
        <v>739</v>
      </c>
    </row>
    <row r="2" spans="1:2" x14ac:dyDescent="0.25">
      <c r="A2" s="1">
        <v>80</v>
      </c>
      <c r="B2" t="s">
        <v>740</v>
      </c>
    </row>
    <row r="3" spans="1:2" x14ac:dyDescent="0.25">
      <c r="A3" s="1">
        <v>899</v>
      </c>
      <c r="B3" t="s">
        <v>741</v>
      </c>
    </row>
    <row r="4" spans="1:2" x14ac:dyDescent="0.25">
      <c r="A4" s="1">
        <v>3100</v>
      </c>
      <c r="B4" t="s">
        <v>742</v>
      </c>
    </row>
    <row r="5" spans="1:2" x14ac:dyDescent="0.25">
      <c r="A5" s="1">
        <v>3300</v>
      </c>
      <c r="B5" t="s">
        <v>743</v>
      </c>
    </row>
    <row r="6" spans="1:2" x14ac:dyDescent="0.25">
      <c r="A6" s="1">
        <v>3301</v>
      </c>
      <c r="B6" t="s">
        <v>744</v>
      </c>
    </row>
    <row r="7" spans="1:2" x14ac:dyDescent="0.25">
      <c r="A7" s="1">
        <v>3302</v>
      </c>
      <c r="B7" t="s">
        <v>745</v>
      </c>
    </row>
    <row r="8" spans="1:2" x14ac:dyDescent="0.25">
      <c r="A8" s="1">
        <v>3303</v>
      </c>
      <c r="B8" t="s">
        <v>746</v>
      </c>
    </row>
    <row r="9" spans="1:2" x14ac:dyDescent="0.25">
      <c r="A9" s="1">
        <v>3304</v>
      </c>
      <c r="B9" t="s">
        <v>747</v>
      </c>
    </row>
    <row r="10" spans="1:2" x14ac:dyDescent="0.25">
      <c r="A10" s="1">
        <v>3305</v>
      </c>
      <c r="B10" t="s">
        <v>748</v>
      </c>
    </row>
    <row r="11" spans="1:2" x14ac:dyDescent="0.25">
      <c r="A11" s="1">
        <v>3306</v>
      </c>
      <c r="B11" t="s">
        <v>749</v>
      </c>
    </row>
    <row r="12" spans="1:2" x14ac:dyDescent="0.25">
      <c r="A12" s="1">
        <v>3307</v>
      </c>
      <c r="B12" t="s">
        <v>750</v>
      </c>
    </row>
    <row r="13" spans="1:2" x14ac:dyDescent="0.25">
      <c r="A13" s="1">
        <v>3308</v>
      </c>
      <c r="B13" t="s">
        <v>751</v>
      </c>
    </row>
    <row r="14" spans="1:2" x14ac:dyDescent="0.25">
      <c r="A14" s="1">
        <v>3309</v>
      </c>
      <c r="B14" t="s">
        <v>752</v>
      </c>
    </row>
    <row r="15" spans="1:2" x14ac:dyDescent="0.25">
      <c r="A15" s="1">
        <v>3310</v>
      </c>
      <c r="B15" t="s">
        <v>753</v>
      </c>
    </row>
    <row r="16" spans="1:2" x14ac:dyDescent="0.25">
      <c r="A16" s="1">
        <v>3311</v>
      </c>
      <c r="B16" t="s">
        <v>659</v>
      </c>
    </row>
    <row r="17" spans="1:2" x14ac:dyDescent="0.25">
      <c r="A17" s="1">
        <v>3312</v>
      </c>
      <c r="B17" t="s">
        <v>660</v>
      </c>
    </row>
    <row r="18" spans="1:2" x14ac:dyDescent="0.25">
      <c r="A18" s="1">
        <v>3314</v>
      </c>
      <c r="B18" t="s">
        <v>662</v>
      </c>
    </row>
    <row r="19" spans="1:2" x14ac:dyDescent="0.25">
      <c r="A19" s="1">
        <v>3315</v>
      </c>
      <c r="B19" t="s">
        <v>559</v>
      </c>
    </row>
    <row r="20" spans="1:2" x14ac:dyDescent="0.25">
      <c r="A20" s="1">
        <v>3316</v>
      </c>
      <c r="B20" t="s">
        <v>754</v>
      </c>
    </row>
    <row r="21" spans="1:2" x14ac:dyDescent="0.25">
      <c r="A21" s="1">
        <v>3317</v>
      </c>
      <c r="B21" t="s">
        <v>755</v>
      </c>
    </row>
    <row r="22" spans="1:2" x14ac:dyDescent="0.25">
      <c r="A22" s="1">
        <v>3319</v>
      </c>
      <c r="B22" t="s">
        <v>645</v>
      </c>
    </row>
    <row r="23" spans="1:2" x14ac:dyDescent="0.25">
      <c r="A23" s="1">
        <v>3321</v>
      </c>
      <c r="B23" t="s">
        <v>756</v>
      </c>
    </row>
    <row r="24" spans="1:2" x14ac:dyDescent="0.25">
      <c r="A24" s="1">
        <v>3323</v>
      </c>
      <c r="B24" t="s">
        <v>757</v>
      </c>
    </row>
    <row r="25" spans="1:2" x14ac:dyDescent="0.25">
      <c r="A25" s="1">
        <v>3326</v>
      </c>
      <c r="B25" t="s">
        <v>560</v>
      </c>
    </row>
    <row r="26" spans="1:2" x14ac:dyDescent="0.25">
      <c r="A26" s="1">
        <v>3336</v>
      </c>
      <c r="B26" t="s">
        <v>758</v>
      </c>
    </row>
    <row r="27" spans="1:2" x14ac:dyDescent="0.25">
      <c r="A27" s="1">
        <v>3340</v>
      </c>
      <c r="B27" t="s">
        <v>759</v>
      </c>
    </row>
    <row r="28" spans="1:2" x14ac:dyDescent="0.25">
      <c r="A28" s="1">
        <v>3342</v>
      </c>
      <c r="B28" t="s">
        <v>760</v>
      </c>
    </row>
    <row r="29" spans="1:2" x14ac:dyDescent="0.25">
      <c r="A29" s="1">
        <v>3345</v>
      </c>
      <c r="B29" t="s">
        <v>761</v>
      </c>
    </row>
    <row r="30" spans="1:2" x14ac:dyDescent="0.25">
      <c r="A30" s="1">
        <v>3346</v>
      </c>
      <c r="B30" t="s">
        <v>762</v>
      </c>
    </row>
    <row r="31" spans="1:2" x14ac:dyDescent="0.25">
      <c r="A31" s="1">
        <v>3360</v>
      </c>
      <c r="B31" t="s">
        <v>763</v>
      </c>
    </row>
    <row r="32" spans="1:2" x14ac:dyDescent="0.25">
      <c r="A32" s="1">
        <v>3400</v>
      </c>
      <c r="B32" t="s">
        <v>764</v>
      </c>
    </row>
    <row r="33" spans="1:2" x14ac:dyDescent="0.25">
      <c r="A33" s="1">
        <v>3402</v>
      </c>
      <c r="B33" t="s">
        <v>765</v>
      </c>
    </row>
    <row r="34" spans="1:2" x14ac:dyDescent="0.25">
      <c r="A34" s="1">
        <v>3403</v>
      </c>
      <c r="B34" t="s">
        <v>766</v>
      </c>
    </row>
    <row r="35" spans="1:2" x14ac:dyDescent="0.25">
      <c r="A35" s="1">
        <v>3404</v>
      </c>
      <c r="B35" t="s">
        <v>767</v>
      </c>
    </row>
    <row r="36" spans="1:2" x14ac:dyDescent="0.25">
      <c r="A36" s="1">
        <v>3405</v>
      </c>
      <c r="B36" t="s">
        <v>768</v>
      </c>
    </row>
    <row r="37" spans="1:2" x14ac:dyDescent="0.25">
      <c r="A37" s="1">
        <v>3500</v>
      </c>
      <c r="B37" t="s">
        <v>769</v>
      </c>
    </row>
    <row r="38" spans="1:2" x14ac:dyDescent="0.25">
      <c r="A38" s="1">
        <v>3501</v>
      </c>
      <c r="B38" t="s">
        <v>770</v>
      </c>
    </row>
    <row r="39" spans="1:2" x14ac:dyDescent="0.25">
      <c r="A39" s="1">
        <v>3800</v>
      </c>
      <c r="B39" t="s">
        <v>771</v>
      </c>
    </row>
    <row r="40" spans="1:2" x14ac:dyDescent="0.25">
      <c r="A40" s="1">
        <v>3801</v>
      </c>
      <c r="B40" t="s">
        <v>772</v>
      </c>
    </row>
    <row r="41" spans="1:2" x14ac:dyDescent="0.25">
      <c r="A41" s="1">
        <v>3810</v>
      </c>
      <c r="B41" t="s">
        <v>773</v>
      </c>
    </row>
    <row r="42" spans="1:2" x14ac:dyDescent="0.25">
      <c r="A42" s="1">
        <v>3811</v>
      </c>
      <c r="B42" t="s">
        <v>774</v>
      </c>
    </row>
    <row r="43" spans="1:2" x14ac:dyDescent="0.25">
      <c r="A43" s="1">
        <v>3812</v>
      </c>
      <c r="B43" t="s">
        <v>775</v>
      </c>
    </row>
    <row r="44" spans="1:2" x14ac:dyDescent="0.25">
      <c r="A44" s="1">
        <v>3813</v>
      </c>
      <c r="B44" t="s">
        <v>776</v>
      </c>
    </row>
    <row r="45" spans="1:2" x14ac:dyDescent="0.25">
      <c r="A45" s="1">
        <v>3814</v>
      </c>
      <c r="B45" t="s">
        <v>777</v>
      </c>
    </row>
    <row r="46" spans="1:2" x14ac:dyDescent="0.25">
      <c r="A46" s="1">
        <v>3815</v>
      </c>
      <c r="B46" t="s">
        <v>778</v>
      </c>
    </row>
    <row r="47" spans="1:2" x14ac:dyDescent="0.25">
      <c r="A47" s="1">
        <v>3820</v>
      </c>
      <c r="B47" t="s">
        <v>779</v>
      </c>
    </row>
    <row r="48" spans="1:2" x14ac:dyDescent="0.25">
      <c r="A48" s="1">
        <v>3824</v>
      </c>
      <c r="B48" t="s">
        <v>780</v>
      </c>
    </row>
    <row r="49" spans="1:2" x14ac:dyDescent="0.25">
      <c r="A49" s="1">
        <v>3837</v>
      </c>
      <c r="B49" t="s">
        <v>781</v>
      </c>
    </row>
    <row r="50" spans="1:2" x14ac:dyDescent="0.25">
      <c r="A50" s="1">
        <v>3353</v>
      </c>
      <c r="B50" t="s">
        <v>782</v>
      </c>
    </row>
    <row r="51" spans="1:2" x14ac:dyDescent="0.25">
      <c r="A51" s="1">
        <v>3354</v>
      </c>
      <c r="B51" t="s">
        <v>783</v>
      </c>
    </row>
    <row r="52" spans="1:2" x14ac:dyDescent="0.25">
      <c r="A52" s="1">
        <v>3832</v>
      </c>
      <c r="B52" t="s">
        <v>784</v>
      </c>
    </row>
    <row r="53" spans="1:2" x14ac:dyDescent="0.25">
      <c r="A53" s="1">
        <v>3361</v>
      </c>
      <c r="B53" t="s">
        <v>785</v>
      </c>
    </row>
    <row r="54" spans="1:2" x14ac:dyDescent="0.25">
      <c r="A54" s="1">
        <v>3362</v>
      </c>
      <c r="B54" t="s">
        <v>786</v>
      </c>
    </row>
    <row r="55" spans="1:2" x14ac:dyDescent="0.25">
      <c r="A55" s="1">
        <v>3363</v>
      </c>
      <c r="B55" t="s">
        <v>787</v>
      </c>
    </row>
    <row r="56" spans="1:2" x14ac:dyDescent="0.25">
      <c r="A56" s="1">
        <v>3327</v>
      </c>
      <c r="B56" t="s">
        <v>788</v>
      </c>
    </row>
    <row r="57" spans="1:2" x14ac:dyDescent="0.25">
      <c r="A57" s="1">
        <v>3328</v>
      </c>
      <c r="B57" t="s">
        <v>789</v>
      </c>
    </row>
    <row r="58" spans="1:2" x14ac:dyDescent="0.25">
      <c r="A58" s="1">
        <v>3320</v>
      </c>
      <c r="B58" t="s">
        <v>790</v>
      </c>
    </row>
    <row r="59" spans="1:2" x14ac:dyDescent="0.25">
      <c r="A59" s="1">
        <v>3364</v>
      </c>
      <c r="B59" t="s">
        <v>791</v>
      </c>
    </row>
    <row r="60" spans="1:2" x14ac:dyDescent="0.25">
      <c r="A60" s="1">
        <v>3330</v>
      </c>
      <c r="B60" t="s">
        <v>567</v>
      </c>
    </row>
    <row r="61" spans="1:2" x14ac:dyDescent="0.25">
      <c r="A61" s="1">
        <v>3355</v>
      </c>
      <c r="B61" t="s">
        <v>26</v>
      </c>
    </row>
    <row r="62" spans="1:2" x14ac:dyDescent="0.25">
      <c r="A62" s="1">
        <v>3356</v>
      </c>
      <c r="B62" t="s">
        <v>792</v>
      </c>
    </row>
    <row r="63" spans="1:2" x14ac:dyDescent="0.25">
      <c r="A63" s="1">
        <v>3337</v>
      </c>
      <c r="B63" t="s">
        <v>793</v>
      </c>
    </row>
    <row r="64" spans="1:2" x14ac:dyDescent="0.25">
      <c r="A64" s="1">
        <v>3329</v>
      </c>
      <c r="B64" t="s">
        <v>794</v>
      </c>
    </row>
    <row r="65" spans="1:2" x14ac:dyDescent="0.25">
      <c r="A65" s="1">
        <v>3357</v>
      </c>
      <c r="B65" t="s">
        <v>795</v>
      </c>
    </row>
    <row r="66" spans="1:2" x14ac:dyDescent="0.25">
      <c r="A66" s="1">
        <v>3358</v>
      </c>
      <c r="B66" t="s">
        <v>32</v>
      </c>
    </row>
    <row r="67" spans="1:2" x14ac:dyDescent="0.25">
      <c r="A67" s="1">
        <v>3365</v>
      </c>
      <c r="B67" t="s">
        <v>796</v>
      </c>
    </row>
    <row r="68" spans="1:2" x14ac:dyDescent="0.25">
      <c r="A68" s="1">
        <v>3331</v>
      </c>
      <c r="B68" t="s">
        <v>797</v>
      </c>
    </row>
    <row r="69" spans="1:2" x14ac:dyDescent="0.25">
      <c r="A69" s="1">
        <v>3325</v>
      </c>
      <c r="B69" t="s">
        <v>798</v>
      </c>
    </row>
    <row r="70" spans="1:2" x14ac:dyDescent="0.25">
      <c r="A70" s="1">
        <v>3382</v>
      </c>
      <c r="B70" t="s">
        <v>799</v>
      </c>
    </row>
    <row r="71" spans="1:2" x14ac:dyDescent="0.25">
      <c r="A71" s="1">
        <v>3359</v>
      </c>
      <c r="B71" t="s">
        <v>800</v>
      </c>
    </row>
    <row r="72" spans="1:2" x14ac:dyDescent="0.25">
      <c r="A72" s="1">
        <v>3318</v>
      </c>
      <c r="B72" t="s">
        <v>801</v>
      </c>
    </row>
    <row r="73" spans="1:2" x14ac:dyDescent="0.25">
      <c r="A73" s="1">
        <v>3335</v>
      </c>
      <c r="B73" t="s">
        <v>802</v>
      </c>
    </row>
    <row r="74" spans="1:2" x14ac:dyDescent="0.25">
      <c r="A74" s="1">
        <v>3366</v>
      </c>
      <c r="B74" t="s">
        <v>803</v>
      </c>
    </row>
    <row r="75" spans="1:2" x14ac:dyDescent="0.25">
      <c r="A75" s="1">
        <v>3367</v>
      </c>
      <c r="B75" t="s">
        <v>804</v>
      </c>
    </row>
    <row r="76" spans="1:2" x14ac:dyDescent="0.25">
      <c r="A76" s="1">
        <v>3368</v>
      </c>
      <c r="B76" t="s">
        <v>805</v>
      </c>
    </row>
    <row r="78" spans="1:2" ht="29.25" customHeight="1" x14ac:dyDescent="0.25">
      <c r="A78" s="110" t="s">
        <v>812</v>
      </c>
      <c r="B78" s="110"/>
    </row>
    <row r="79" spans="1:2" ht="25.5" customHeight="1" x14ac:dyDescent="0.25">
      <c r="A79" s="2" t="s">
        <v>813</v>
      </c>
      <c r="B79" s="2" t="s">
        <v>739</v>
      </c>
    </row>
    <row r="80" spans="1:2" x14ac:dyDescent="0.25">
      <c r="A80" s="1">
        <v>3830</v>
      </c>
      <c r="B80" t="s">
        <v>806</v>
      </c>
    </row>
    <row r="81" spans="1:2" x14ac:dyDescent="0.25">
      <c r="A81" s="1">
        <v>3832</v>
      </c>
      <c r="B81" t="s">
        <v>807</v>
      </c>
    </row>
    <row r="82" spans="1:2" x14ac:dyDescent="0.25">
      <c r="A82" s="1">
        <v>3831</v>
      </c>
      <c r="B82" t="s">
        <v>808</v>
      </c>
    </row>
    <row r="83" spans="1:2" x14ac:dyDescent="0.25">
      <c r="A83" s="1">
        <v>3833</v>
      </c>
      <c r="B83" t="s">
        <v>809</v>
      </c>
    </row>
    <row r="84" spans="1:2" x14ac:dyDescent="0.25">
      <c r="A84" s="1">
        <v>3836</v>
      </c>
      <c r="B84" t="s">
        <v>810</v>
      </c>
    </row>
    <row r="85" spans="1:2" x14ac:dyDescent="0.25">
      <c r="A85" s="1">
        <v>3841</v>
      </c>
      <c r="B85" t="s">
        <v>811</v>
      </c>
    </row>
    <row r="87" spans="1:2" x14ac:dyDescent="0.25">
      <c r="A87" s="3" t="s">
        <v>814</v>
      </c>
    </row>
    <row r="88" spans="1:2" x14ac:dyDescent="0.25">
      <c r="A88" s="2"/>
    </row>
    <row r="89" spans="1:2" x14ac:dyDescent="0.25">
      <c r="A89" s="90" t="s">
        <v>815</v>
      </c>
    </row>
  </sheetData>
  <mergeCells count="1">
    <mergeCell ref="A78:B78"/>
  </mergeCells>
  <hyperlinks>
    <hyperlink ref="A89" r:id="rId1" location="gid=4" display="https://docs.google.com/spreadsheets/d/1y6jNmsGK7RIoSjDqltk3_sj_K3JAuEXvQ2v88sryFSI/edit - gid=4"/>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55"/>
  <sheetViews>
    <sheetView workbookViewId="0">
      <selection activeCell="C2" sqref="C2"/>
    </sheetView>
  </sheetViews>
  <sheetFormatPr defaultColWidth="36.42578125" defaultRowHeight="15" x14ac:dyDescent="0.25"/>
  <cols>
    <col min="1" max="1" width="11.28515625" customWidth="1"/>
    <col min="4" max="4" width="14.5703125" customWidth="1"/>
    <col min="5" max="5" width="21.7109375" customWidth="1"/>
  </cols>
  <sheetData>
    <row r="1" spans="1:5" ht="31.5" customHeight="1" x14ac:dyDescent="0.25">
      <c r="A1" s="2" t="s">
        <v>3493</v>
      </c>
      <c r="B1" s="2" t="s">
        <v>4397</v>
      </c>
      <c r="C1" s="2" t="s">
        <v>4400</v>
      </c>
      <c r="D1" s="2" t="s">
        <v>3483</v>
      </c>
      <c r="E1" s="2" t="s">
        <v>4398</v>
      </c>
    </row>
    <row r="2" spans="1:5" s="93" customFormat="1" ht="15" customHeight="1" x14ac:dyDescent="0.25">
      <c r="A2" s="93">
        <v>98</v>
      </c>
      <c r="B2" s="93" t="s">
        <v>3771</v>
      </c>
      <c r="C2" s="93" t="s">
        <v>3771</v>
      </c>
      <c r="D2" s="93">
        <v>98</v>
      </c>
      <c r="E2" s="93" t="s">
        <v>3744</v>
      </c>
    </row>
    <row r="3" spans="1:5" s="93" customFormat="1" ht="15" customHeight="1" x14ac:dyDescent="0.25">
      <c r="A3" s="93">
        <v>99</v>
      </c>
      <c r="B3" s="93" t="s">
        <v>3743</v>
      </c>
      <c r="C3" s="93" t="s">
        <v>3743</v>
      </c>
      <c r="D3" s="93">
        <v>99</v>
      </c>
      <c r="E3" s="93" t="s">
        <v>3744</v>
      </c>
    </row>
    <row r="4" spans="1:5" x14ac:dyDescent="0.25">
      <c r="A4" t="str">
        <f t="shared" ref="A4:A15" si="0">"14005"</f>
        <v>14005</v>
      </c>
      <c r="B4" t="s">
        <v>816</v>
      </c>
      <c r="C4" t="s">
        <v>817</v>
      </c>
      <c r="D4" t="str">
        <f>"2834"</f>
        <v>2834</v>
      </c>
      <c r="E4" t="s">
        <v>818</v>
      </c>
    </row>
    <row r="5" spans="1:5" x14ac:dyDescent="0.25">
      <c r="A5" t="str">
        <f t="shared" si="0"/>
        <v>14005</v>
      </c>
      <c r="B5" t="s">
        <v>816</v>
      </c>
      <c r="C5" t="s">
        <v>819</v>
      </c>
      <c r="D5" t="str">
        <f>"3216"</f>
        <v>3216</v>
      </c>
      <c r="E5" t="s">
        <v>818</v>
      </c>
    </row>
    <row r="6" spans="1:5" x14ac:dyDescent="0.25">
      <c r="A6" t="str">
        <f t="shared" si="0"/>
        <v>14005</v>
      </c>
      <c r="B6" t="s">
        <v>816</v>
      </c>
      <c r="C6" t="s">
        <v>820</v>
      </c>
      <c r="D6" t="str">
        <f>"5514"</f>
        <v>5514</v>
      </c>
      <c r="E6" t="s">
        <v>821</v>
      </c>
    </row>
    <row r="7" spans="1:5" x14ac:dyDescent="0.25">
      <c r="A7" t="str">
        <f t="shared" si="0"/>
        <v>14005</v>
      </c>
      <c r="B7" t="s">
        <v>816</v>
      </c>
      <c r="C7" t="s">
        <v>822</v>
      </c>
      <c r="D7" t="str">
        <f>"4267"</f>
        <v>4267</v>
      </c>
      <c r="E7" t="s">
        <v>821</v>
      </c>
    </row>
    <row r="8" spans="1:5" x14ac:dyDescent="0.25">
      <c r="A8" t="str">
        <f t="shared" si="0"/>
        <v>14005</v>
      </c>
      <c r="B8" t="s">
        <v>816</v>
      </c>
      <c r="C8" t="s">
        <v>823</v>
      </c>
      <c r="D8" t="str">
        <f>"3857"</f>
        <v>3857</v>
      </c>
      <c r="E8" t="s">
        <v>824</v>
      </c>
    </row>
    <row r="9" spans="1:5" x14ac:dyDescent="0.25">
      <c r="A9" t="str">
        <f t="shared" si="0"/>
        <v>14005</v>
      </c>
      <c r="B9" t="s">
        <v>816</v>
      </c>
      <c r="C9" t="s">
        <v>825</v>
      </c>
      <c r="D9" t="str">
        <f>"3154"</f>
        <v>3154</v>
      </c>
      <c r="E9" t="s">
        <v>826</v>
      </c>
    </row>
    <row r="10" spans="1:5" x14ac:dyDescent="0.25">
      <c r="A10" t="str">
        <f t="shared" si="0"/>
        <v>14005</v>
      </c>
      <c r="B10" t="s">
        <v>816</v>
      </c>
      <c r="C10" t="s">
        <v>827</v>
      </c>
      <c r="D10" t="str">
        <f>"3476"</f>
        <v>3476</v>
      </c>
      <c r="E10" t="s">
        <v>824</v>
      </c>
    </row>
    <row r="11" spans="1:5" x14ac:dyDescent="0.25">
      <c r="A11" t="str">
        <f t="shared" si="0"/>
        <v>14005</v>
      </c>
      <c r="B11" t="s">
        <v>816</v>
      </c>
      <c r="C11" t="s">
        <v>828</v>
      </c>
      <c r="D11" t="str">
        <f>"2449"</f>
        <v>2449</v>
      </c>
      <c r="E11" t="s">
        <v>818</v>
      </c>
    </row>
    <row r="12" spans="1:5" x14ac:dyDescent="0.25">
      <c r="A12" t="str">
        <f t="shared" si="0"/>
        <v>14005</v>
      </c>
      <c r="B12" t="s">
        <v>816</v>
      </c>
      <c r="C12" t="s">
        <v>829</v>
      </c>
      <c r="D12" t="str">
        <f>"2305"</f>
        <v>2305</v>
      </c>
      <c r="E12" t="s">
        <v>830</v>
      </c>
    </row>
    <row r="13" spans="1:5" x14ac:dyDescent="0.25">
      <c r="A13" t="str">
        <f t="shared" si="0"/>
        <v>14005</v>
      </c>
      <c r="B13" t="s">
        <v>816</v>
      </c>
      <c r="C13" t="s">
        <v>831</v>
      </c>
      <c r="D13" t="str">
        <f>"2763"</f>
        <v>2763</v>
      </c>
      <c r="E13" t="s">
        <v>818</v>
      </c>
    </row>
    <row r="14" spans="1:5" x14ac:dyDescent="0.25">
      <c r="A14" t="str">
        <f t="shared" si="0"/>
        <v>14005</v>
      </c>
      <c r="B14" t="s">
        <v>816</v>
      </c>
      <c r="C14" t="s">
        <v>832</v>
      </c>
      <c r="D14" t="str">
        <f>"2971"</f>
        <v>2971</v>
      </c>
      <c r="E14" t="s">
        <v>818</v>
      </c>
    </row>
    <row r="15" spans="1:5" x14ac:dyDescent="0.25">
      <c r="A15" t="str">
        <f t="shared" si="0"/>
        <v>14005</v>
      </c>
      <c r="B15" t="s">
        <v>816</v>
      </c>
      <c r="C15" t="s">
        <v>833</v>
      </c>
      <c r="D15" t="str">
        <f>"5208"</f>
        <v>5208</v>
      </c>
      <c r="E15" t="s">
        <v>824</v>
      </c>
    </row>
    <row r="16" spans="1:5" x14ac:dyDescent="0.25">
      <c r="A16" t="str">
        <f>"21226"</f>
        <v>21226</v>
      </c>
      <c r="B16" t="s">
        <v>834</v>
      </c>
      <c r="C16" t="s">
        <v>835</v>
      </c>
      <c r="D16" t="str">
        <f>"2227"</f>
        <v>2227</v>
      </c>
      <c r="E16" t="s">
        <v>818</v>
      </c>
    </row>
    <row r="17" spans="1:5" x14ac:dyDescent="0.25">
      <c r="A17" t="str">
        <f>"21226"</f>
        <v>21226</v>
      </c>
      <c r="B17" t="s">
        <v>834</v>
      </c>
      <c r="C17" t="s">
        <v>836</v>
      </c>
      <c r="D17" t="str">
        <f>"2441"</f>
        <v>2441</v>
      </c>
      <c r="E17" t="s">
        <v>821</v>
      </c>
    </row>
    <row r="18" spans="1:5" x14ac:dyDescent="0.25">
      <c r="A18" t="str">
        <f>"22017"</f>
        <v>22017</v>
      </c>
      <c r="B18" t="s">
        <v>837</v>
      </c>
      <c r="C18" t="s">
        <v>838</v>
      </c>
      <c r="D18" t="str">
        <f>"2860"</f>
        <v>2860</v>
      </c>
      <c r="E18" t="s">
        <v>821</v>
      </c>
    </row>
    <row r="19" spans="1:5" x14ac:dyDescent="0.25">
      <c r="A19" t="str">
        <f t="shared" ref="A19:A25" si="1">"29103"</f>
        <v>29103</v>
      </c>
      <c r="B19" t="s">
        <v>839</v>
      </c>
      <c r="C19" t="s">
        <v>840</v>
      </c>
      <c r="D19" t="str">
        <f>"2467"</f>
        <v>2467</v>
      </c>
      <c r="E19" t="s">
        <v>824</v>
      </c>
    </row>
    <row r="20" spans="1:5" x14ac:dyDescent="0.25">
      <c r="A20" t="str">
        <f t="shared" si="1"/>
        <v>29103</v>
      </c>
      <c r="B20" t="s">
        <v>839</v>
      </c>
      <c r="C20" t="s">
        <v>841</v>
      </c>
      <c r="D20" t="str">
        <f>"2707"</f>
        <v>2707</v>
      </c>
      <c r="E20" t="s">
        <v>830</v>
      </c>
    </row>
    <row r="21" spans="1:5" x14ac:dyDescent="0.25">
      <c r="A21" t="str">
        <f t="shared" si="1"/>
        <v>29103</v>
      </c>
      <c r="B21" t="s">
        <v>839</v>
      </c>
      <c r="C21" t="s">
        <v>842</v>
      </c>
      <c r="D21" t="str">
        <f>"5176"</f>
        <v>5176</v>
      </c>
      <c r="E21" t="s">
        <v>824</v>
      </c>
    </row>
    <row r="22" spans="1:5" x14ac:dyDescent="0.25">
      <c r="A22" t="str">
        <f t="shared" si="1"/>
        <v>29103</v>
      </c>
      <c r="B22" t="s">
        <v>839</v>
      </c>
      <c r="C22" t="s">
        <v>843</v>
      </c>
      <c r="D22" t="str">
        <f>"3182"</f>
        <v>3182</v>
      </c>
      <c r="E22" t="s">
        <v>818</v>
      </c>
    </row>
    <row r="23" spans="1:5" x14ac:dyDescent="0.25">
      <c r="A23" t="str">
        <f t="shared" si="1"/>
        <v>29103</v>
      </c>
      <c r="B23" t="s">
        <v>839</v>
      </c>
      <c r="C23" t="s">
        <v>844</v>
      </c>
      <c r="D23" t="str">
        <f>"3252"</f>
        <v>3252</v>
      </c>
      <c r="E23" t="s">
        <v>818</v>
      </c>
    </row>
    <row r="24" spans="1:5" x14ac:dyDescent="0.25">
      <c r="A24" t="str">
        <f t="shared" si="1"/>
        <v>29103</v>
      </c>
      <c r="B24" t="s">
        <v>839</v>
      </c>
      <c r="C24" t="s">
        <v>845</v>
      </c>
      <c r="D24" t="str">
        <f>"3057"</f>
        <v>3057</v>
      </c>
      <c r="E24" t="s">
        <v>818</v>
      </c>
    </row>
    <row r="25" spans="1:5" x14ac:dyDescent="0.25">
      <c r="A25" t="str">
        <f t="shared" si="1"/>
        <v>29103</v>
      </c>
      <c r="B25" t="s">
        <v>839</v>
      </c>
      <c r="C25" t="s">
        <v>846</v>
      </c>
      <c r="D25" t="str">
        <f>"3404"</f>
        <v>3404</v>
      </c>
      <c r="E25" t="s">
        <v>818</v>
      </c>
    </row>
    <row r="26" spans="1:5" x14ac:dyDescent="0.25">
      <c r="A26" t="str">
        <f t="shared" ref="A26:A36" si="2">"31016"</f>
        <v>31016</v>
      </c>
      <c r="B26" t="s">
        <v>847</v>
      </c>
      <c r="C26" t="s">
        <v>848</v>
      </c>
      <c r="D26" t="str">
        <f>"2523"</f>
        <v>2523</v>
      </c>
      <c r="E26" t="s">
        <v>824</v>
      </c>
    </row>
    <row r="27" spans="1:5" x14ac:dyDescent="0.25">
      <c r="A27" t="str">
        <f t="shared" si="2"/>
        <v>31016</v>
      </c>
      <c r="B27" t="s">
        <v>847</v>
      </c>
      <c r="C27" t="s">
        <v>849</v>
      </c>
      <c r="D27" t="str">
        <f>"5495"</f>
        <v>5495</v>
      </c>
      <c r="E27" t="s">
        <v>824</v>
      </c>
    </row>
    <row r="28" spans="1:5" x14ac:dyDescent="0.25">
      <c r="A28" t="str">
        <f t="shared" si="2"/>
        <v>31016</v>
      </c>
      <c r="B28" t="s">
        <v>847</v>
      </c>
      <c r="C28" t="s">
        <v>850</v>
      </c>
      <c r="D28" t="str">
        <f>"2277"</f>
        <v>2277</v>
      </c>
      <c r="E28" t="s">
        <v>851</v>
      </c>
    </row>
    <row r="29" spans="1:5" x14ac:dyDescent="0.25">
      <c r="A29" t="str">
        <f t="shared" si="2"/>
        <v>31016</v>
      </c>
      <c r="B29" t="s">
        <v>847</v>
      </c>
      <c r="C29" t="s">
        <v>852</v>
      </c>
      <c r="D29" t="str">
        <f>"4327"</f>
        <v>4327</v>
      </c>
      <c r="E29" t="s">
        <v>818</v>
      </c>
    </row>
    <row r="30" spans="1:5" x14ac:dyDescent="0.25">
      <c r="A30" t="str">
        <f t="shared" si="2"/>
        <v>31016</v>
      </c>
      <c r="B30" t="s">
        <v>847</v>
      </c>
      <c r="C30" t="s">
        <v>853</v>
      </c>
      <c r="D30" t="str">
        <f>"5010"</f>
        <v>5010</v>
      </c>
      <c r="E30" t="s">
        <v>830</v>
      </c>
    </row>
    <row r="31" spans="1:5" x14ac:dyDescent="0.25">
      <c r="A31" t="str">
        <f t="shared" si="2"/>
        <v>31016</v>
      </c>
      <c r="B31" t="s">
        <v>847</v>
      </c>
      <c r="C31" t="s">
        <v>854</v>
      </c>
      <c r="D31" t="str">
        <f>"4436"</f>
        <v>4436</v>
      </c>
      <c r="E31" t="s">
        <v>818</v>
      </c>
    </row>
    <row r="32" spans="1:5" x14ac:dyDescent="0.25">
      <c r="A32" t="str">
        <f t="shared" si="2"/>
        <v>31016</v>
      </c>
      <c r="B32" t="s">
        <v>847</v>
      </c>
      <c r="C32" t="s">
        <v>855</v>
      </c>
      <c r="D32" t="str">
        <f>"4573"</f>
        <v>4573</v>
      </c>
      <c r="E32" t="s">
        <v>818</v>
      </c>
    </row>
    <row r="33" spans="1:5" x14ac:dyDescent="0.25">
      <c r="A33" t="str">
        <f t="shared" si="2"/>
        <v>31016</v>
      </c>
      <c r="B33" t="s">
        <v>847</v>
      </c>
      <c r="C33" t="s">
        <v>856</v>
      </c>
      <c r="D33" t="str">
        <f>"3124"</f>
        <v>3124</v>
      </c>
      <c r="E33" t="s">
        <v>830</v>
      </c>
    </row>
    <row r="34" spans="1:5" x14ac:dyDescent="0.25">
      <c r="A34" t="str">
        <f t="shared" si="2"/>
        <v>31016</v>
      </c>
      <c r="B34" t="s">
        <v>847</v>
      </c>
      <c r="C34" t="s">
        <v>857</v>
      </c>
      <c r="D34" t="str">
        <f>"4154"</f>
        <v>4154</v>
      </c>
      <c r="E34" t="s">
        <v>818</v>
      </c>
    </row>
    <row r="35" spans="1:5" x14ac:dyDescent="0.25">
      <c r="A35" t="str">
        <f t="shared" si="2"/>
        <v>31016</v>
      </c>
      <c r="B35" t="s">
        <v>847</v>
      </c>
      <c r="C35" t="s">
        <v>858</v>
      </c>
      <c r="D35" t="str">
        <f>"1714"</f>
        <v>1714</v>
      </c>
      <c r="E35" t="s">
        <v>859</v>
      </c>
    </row>
    <row r="36" spans="1:5" x14ac:dyDescent="0.25">
      <c r="A36" t="str">
        <f t="shared" si="2"/>
        <v>31016</v>
      </c>
      <c r="B36" t="s">
        <v>847</v>
      </c>
      <c r="C36" t="s">
        <v>860</v>
      </c>
      <c r="D36" t="str">
        <f>"4287"</f>
        <v>4287</v>
      </c>
      <c r="E36" t="s">
        <v>824</v>
      </c>
    </row>
    <row r="37" spans="1:5" x14ac:dyDescent="0.25">
      <c r="A37" t="str">
        <f>"02420"</f>
        <v>02420</v>
      </c>
      <c r="B37" t="s">
        <v>861</v>
      </c>
      <c r="C37" t="s">
        <v>862</v>
      </c>
      <c r="D37" t="str">
        <f>"2507"</f>
        <v>2507</v>
      </c>
      <c r="E37" t="s">
        <v>818</v>
      </c>
    </row>
    <row r="38" spans="1:5" x14ac:dyDescent="0.25">
      <c r="A38" t="str">
        <f>"02420"</f>
        <v>02420</v>
      </c>
      <c r="B38" t="s">
        <v>861</v>
      </c>
      <c r="C38" t="s">
        <v>863</v>
      </c>
      <c r="D38" t="str">
        <f>"2434"</f>
        <v>2434</v>
      </c>
      <c r="E38" t="s">
        <v>821</v>
      </c>
    </row>
    <row r="39" spans="1:5" x14ac:dyDescent="0.25">
      <c r="A39" t="str">
        <f t="shared" ref="A39:A62" si="3">"17408"</f>
        <v>17408</v>
      </c>
      <c r="B39" t="s">
        <v>864</v>
      </c>
      <c r="C39" t="s">
        <v>865</v>
      </c>
      <c r="D39" t="str">
        <f>"3825"</f>
        <v>3825</v>
      </c>
      <c r="E39" t="s">
        <v>818</v>
      </c>
    </row>
    <row r="40" spans="1:5" x14ac:dyDescent="0.25">
      <c r="A40" t="str">
        <f t="shared" si="3"/>
        <v>17408</v>
      </c>
      <c r="B40" t="s">
        <v>864</v>
      </c>
      <c r="C40" t="s">
        <v>866</v>
      </c>
      <c r="D40" t="str">
        <f>"5082"</f>
        <v>5082</v>
      </c>
      <c r="E40" t="s">
        <v>818</v>
      </c>
    </row>
    <row r="41" spans="1:5" x14ac:dyDescent="0.25">
      <c r="A41" t="str">
        <f t="shared" si="3"/>
        <v>17408</v>
      </c>
      <c r="B41" t="s">
        <v>864</v>
      </c>
      <c r="C41" t="s">
        <v>867</v>
      </c>
      <c r="D41" t="str">
        <f>"5037"</f>
        <v>5037</v>
      </c>
      <c r="E41" t="s">
        <v>824</v>
      </c>
    </row>
    <row r="42" spans="1:5" x14ac:dyDescent="0.25">
      <c r="A42" t="str">
        <f t="shared" si="3"/>
        <v>17408</v>
      </c>
      <c r="B42" t="s">
        <v>864</v>
      </c>
      <c r="C42" t="s">
        <v>868</v>
      </c>
      <c r="D42" t="str">
        <f>"5522"</f>
        <v>5522</v>
      </c>
      <c r="E42" t="s">
        <v>824</v>
      </c>
    </row>
    <row r="43" spans="1:5" x14ac:dyDescent="0.25">
      <c r="A43" t="str">
        <f t="shared" si="3"/>
        <v>17408</v>
      </c>
      <c r="B43" t="s">
        <v>864</v>
      </c>
      <c r="C43" t="s">
        <v>869</v>
      </c>
      <c r="D43" t="str">
        <f>"4474"</f>
        <v>4474</v>
      </c>
      <c r="E43" t="s">
        <v>824</v>
      </c>
    </row>
    <row r="44" spans="1:5" x14ac:dyDescent="0.25">
      <c r="A44" t="str">
        <f t="shared" si="3"/>
        <v>17408</v>
      </c>
      <c r="B44" t="s">
        <v>864</v>
      </c>
      <c r="C44" t="s">
        <v>870</v>
      </c>
      <c r="D44" t="str">
        <f>"2795"</f>
        <v>2795</v>
      </c>
      <c r="E44" t="s">
        <v>824</v>
      </c>
    </row>
    <row r="45" spans="1:5" x14ac:dyDescent="0.25">
      <c r="A45" t="str">
        <f t="shared" si="3"/>
        <v>17408</v>
      </c>
      <c r="B45" t="s">
        <v>864</v>
      </c>
      <c r="C45" t="s">
        <v>871</v>
      </c>
      <c r="D45" t="str">
        <f>"2394"</f>
        <v>2394</v>
      </c>
      <c r="E45" t="s">
        <v>830</v>
      </c>
    </row>
    <row r="46" spans="1:5" x14ac:dyDescent="0.25">
      <c r="A46" t="str">
        <f t="shared" si="3"/>
        <v>17408</v>
      </c>
      <c r="B46" t="s">
        <v>864</v>
      </c>
      <c r="C46" t="s">
        <v>872</v>
      </c>
      <c r="D46" t="str">
        <f>"3439"</f>
        <v>3439</v>
      </c>
      <c r="E46" t="s">
        <v>818</v>
      </c>
    </row>
    <row r="47" spans="1:5" x14ac:dyDescent="0.25">
      <c r="A47" t="str">
        <f t="shared" si="3"/>
        <v>17408</v>
      </c>
      <c r="B47" t="s">
        <v>864</v>
      </c>
      <c r="C47" t="s">
        <v>873</v>
      </c>
      <c r="D47" t="str">
        <f>"2932"</f>
        <v>2932</v>
      </c>
      <c r="E47" t="s">
        <v>818</v>
      </c>
    </row>
    <row r="48" spans="1:5" x14ac:dyDescent="0.25">
      <c r="A48" t="str">
        <f t="shared" si="3"/>
        <v>17408</v>
      </c>
      <c r="B48" t="s">
        <v>864</v>
      </c>
      <c r="C48" t="s">
        <v>874</v>
      </c>
      <c r="D48" t="str">
        <f>"3745"</f>
        <v>3745</v>
      </c>
      <c r="E48" t="s">
        <v>818</v>
      </c>
    </row>
    <row r="49" spans="1:5" x14ac:dyDescent="0.25">
      <c r="A49" t="str">
        <f t="shared" si="3"/>
        <v>17408</v>
      </c>
      <c r="B49" t="s">
        <v>864</v>
      </c>
      <c r="C49" t="s">
        <v>875</v>
      </c>
      <c r="D49" t="str">
        <f>"3669"</f>
        <v>3669</v>
      </c>
      <c r="E49" t="s">
        <v>818</v>
      </c>
    </row>
    <row r="50" spans="1:5" x14ac:dyDescent="0.25">
      <c r="A50" t="str">
        <f t="shared" si="3"/>
        <v>17408</v>
      </c>
      <c r="B50" t="s">
        <v>864</v>
      </c>
      <c r="C50" t="s">
        <v>876</v>
      </c>
      <c r="D50" t="str">
        <f>"4347"</f>
        <v>4347</v>
      </c>
      <c r="E50" t="s">
        <v>818</v>
      </c>
    </row>
    <row r="51" spans="1:5" x14ac:dyDescent="0.25">
      <c r="A51" t="str">
        <f t="shared" si="3"/>
        <v>17408</v>
      </c>
      <c r="B51" t="s">
        <v>864</v>
      </c>
      <c r="C51" t="s">
        <v>877</v>
      </c>
      <c r="D51" t="str">
        <f>"4417"</f>
        <v>4417</v>
      </c>
      <c r="E51" t="s">
        <v>818</v>
      </c>
    </row>
    <row r="52" spans="1:5" x14ac:dyDescent="0.25">
      <c r="A52" t="str">
        <f t="shared" si="3"/>
        <v>17408</v>
      </c>
      <c r="B52" t="s">
        <v>864</v>
      </c>
      <c r="C52" t="s">
        <v>878</v>
      </c>
      <c r="D52" t="str">
        <f>"4120"</f>
        <v>4120</v>
      </c>
      <c r="E52" t="s">
        <v>818</v>
      </c>
    </row>
    <row r="53" spans="1:5" x14ac:dyDescent="0.25">
      <c r="A53" t="str">
        <f t="shared" si="3"/>
        <v>17408</v>
      </c>
      <c r="B53" t="s">
        <v>864</v>
      </c>
      <c r="C53" t="s">
        <v>879</v>
      </c>
      <c r="D53" t="str">
        <f>"5051"</f>
        <v>5051</v>
      </c>
      <c r="E53" t="s">
        <v>818</v>
      </c>
    </row>
    <row r="54" spans="1:5" x14ac:dyDescent="0.25">
      <c r="A54" t="str">
        <f t="shared" si="3"/>
        <v>17408</v>
      </c>
      <c r="B54" t="s">
        <v>864</v>
      </c>
      <c r="C54" t="s">
        <v>880</v>
      </c>
      <c r="D54" t="str">
        <f>"3525"</f>
        <v>3525</v>
      </c>
      <c r="E54" t="s">
        <v>818</v>
      </c>
    </row>
    <row r="55" spans="1:5" x14ac:dyDescent="0.25">
      <c r="A55" t="str">
        <f t="shared" si="3"/>
        <v>17408</v>
      </c>
      <c r="B55" t="s">
        <v>864</v>
      </c>
      <c r="C55" t="s">
        <v>881</v>
      </c>
      <c r="D55" t="str">
        <f>"4462"</f>
        <v>4462</v>
      </c>
      <c r="E55" t="s">
        <v>830</v>
      </c>
    </row>
    <row r="56" spans="1:5" x14ac:dyDescent="0.25">
      <c r="A56" t="str">
        <f t="shared" si="3"/>
        <v>17408</v>
      </c>
      <c r="B56" t="s">
        <v>864</v>
      </c>
      <c r="C56" t="s">
        <v>882</v>
      </c>
      <c r="D56" t="str">
        <f>"3169"</f>
        <v>3169</v>
      </c>
      <c r="E56" t="s">
        <v>830</v>
      </c>
    </row>
    <row r="57" spans="1:5" x14ac:dyDescent="0.25">
      <c r="A57" t="str">
        <f t="shared" si="3"/>
        <v>17408</v>
      </c>
      <c r="B57" t="s">
        <v>864</v>
      </c>
      <c r="C57" t="s">
        <v>883</v>
      </c>
      <c r="D57" t="str">
        <f>"3227"</f>
        <v>3227</v>
      </c>
      <c r="E57" t="s">
        <v>818</v>
      </c>
    </row>
    <row r="58" spans="1:5" x14ac:dyDescent="0.25">
      <c r="A58" t="str">
        <f t="shared" si="3"/>
        <v>17408</v>
      </c>
      <c r="B58" t="s">
        <v>864</v>
      </c>
      <c r="C58" t="s">
        <v>884</v>
      </c>
      <c r="D58" t="str">
        <f>"4385"</f>
        <v>4385</v>
      </c>
      <c r="E58" t="s">
        <v>830</v>
      </c>
    </row>
    <row r="59" spans="1:5" x14ac:dyDescent="0.25">
      <c r="A59" t="str">
        <f t="shared" si="3"/>
        <v>17408</v>
      </c>
      <c r="B59" t="s">
        <v>864</v>
      </c>
      <c r="C59" t="s">
        <v>885</v>
      </c>
      <c r="D59" t="str">
        <f>"1915"</f>
        <v>1915</v>
      </c>
      <c r="E59" t="s">
        <v>851</v>
      </c>
    </row>
    <row r="60" spans="1:5" x14ac:dyDescent="0.25">
      <c r="A60" t="str">
        <f t="shared" si="3"/>
        <v>17408</v>
      </c>
      <c r="B60" t="s">
        <v>864</v>
      </c>
      <c r="C60" t="s">
        <v>886</v>
      </c>
      <c r="D60" t="str">
        <f>"2659"</f>
        <v>2659</v>
      </c>
      <c r="E60" t="s">
        <v>818</v>
      </c>
    </row>
    <row r="61" spans="1:5" x14ac:dyDescent="0.25">
      <c r="A61" t="str">
        <f t="shared" si="3"/>
        <v>17408</v>
      </c>
      <c r="B61" t="s">
        <v>864</v>
      </c>
      <c r="C61" t="s">
        <v>887</v>
      </c>
      <c r="D61" t="str">
        <f>"2326"</f>
        <v>2326</v>
      </c>
      <c r="E61" t="s">
        <v>818</v>
      </c>
    </row>
    <row r="62" spans="1:5" x14ac:dyDescent="0.25">
      <c r="A62" t="str">
        <f t="shared" si="3"/>
        <v>17408</v>
      </c>
      <c r="B62" t="s">
        <v>864</v>
      </c>
      <c r="C62" t="s">
        <v>888</v>
      </c>
      <c r="D62" t="str">
        <f>"2702"</f>
        <v>2702</v>
      </c>
      <c r="E62" t="s">
        <v>824</v>
      </c>
    </row>
    <row r="63" spans="1:5" x14ac:dyDescent="0.25">
      <c r="A63" t="str">
        <f t="shared" ref="A63:A72" si="4">"18303"</f>
        <v>18303</v>
      </c>
      <c r="B63" t="s">
        <v>889</v>
      </c>
      <c r="C63" t="s">
        <v>890</v>
      </c>
      <c r="D63" t="str">
        <f>"2395"</f>
        <v>2395</v>
      </c>
      <c r="E63" t="s">
        <v>824</v>
      </c>
    </row>
    <row r="64" spans="1:5" x14ac:dyDescent="0.25">
      <c r="A64" t="str">
        <f t="shared" si="4"/>
        <v>18303</v>
      </c>
      <c r="B64" t="s">
        <v>889</v>
      </c>
      <c r="C64" t="s">
        <v>891</v>
      </c>
      <c r="D64" t="str">
        <f>"1939"</f>
        <v>1939</v>
      </c>
      <c r="E64" t="s">
        <v>851</v>
      </c>
    </row>
    <row r="65" spans="1:5" x14ac:dyDescent="0.25">
      <c r="A65" t="str">
        <f t="shared" si="4"/>
        <v>18303</v>
      </c>
      <c r="B65" t="s">
        <v>889</v>
      </c>
      <c r="C65" t="s">
        <v>892</v>
      </c>
      <c r="D65" t="str">
        <f>"3552"</f>
        <v>3552</v>
      </c>
      <c r="E65" t="s">
        <v>818</v>
      </c>
    </row>
    <row r="66" spans="1:5" x14ac:dyDescent="0.25">
      <c r="A66" t="str">
        <f t="shared" si="4"/>
        <v>18303</v>
      </c>
      <c r="B66" t="s">
        <v>889</v>
      </c>
      <c r="C66" t="s">
        <v>893</v>
      </c>
      <c r="D66" t="str">
        <f>"3043"</f>
        <v>3043</v>
      </c>
      <c r="E66" t="s">
        <v>818</v>
      </c>
    </row>
    <row r="67" spans="1:5" x14ac:dyDescent="0.25">
      <c r="A67" t="str">
        <f t="shared" si="4"/>
        <v>18303</v>
      </c>
      <c r="B67" t="s">
        <v>889</v>
      </c>
      <c r="C67" t="s">
        <v>894</v>
      </c>
      <c r="D67" t="str">
        <f>"1935"</f>
        <v>1935</v>
      </c>
      <c r="E67" t="s">
        <v>824</v>
      </c>
    </row>
    <row r="68" spans="1:5" x14ac:dyDescent="0.25">
      <c r="A68" t="str">
        <f t="shared" si="4"/>
        <v>18303</v>
      </c>
      <c r="B68" t="s">
        <v>889</v>
      </c>
      <c r="C68" t="s">
        <v>895</v>
      </c>
      <c r="D68" t="str">
        <f>"1841"</f>
        <v>1841</v>
      </c>
      <c r="E68" t="s">
        <v>821</v>
      </c>
    </row>
    <row r="69" spans="1:5" x14ac:dyDescent="0.25">
      <c r="A69" t="str">
        <f t="shared" si="4"/>
        <v>18303</v>
      </c>
      <c r="B69" t="s">
        <v>889</v>
      </c>
      <c r="C69" t="s">
        <v>896</v>
      </c>
      <c r="D69" t="str">
        <f>"1699"</f>
        <v>1699</v>
      </c>
      <c r="E69" t="s">
        <v>821</v>
      </c>
    </row>
    <row r="70" spans="1:5" x14ac:dyDescent="0.25">
      <c r="A70" t="str">
        <f t="shared" si="4"/>
        <v>18303</v>
      </c>
      <c r="B70" t="s">
        <v>889</v>
      </c>
      <c r="C70" t="s">
        <v>897</v>
      </c>
      <c r="D70" t="str">
        <f>"4062"</f>
        <v>4062</v>
      </c>
      <c r="E70" t="s">
        <v>818</v>
      </c>
    </row>
    <row r="71" spans="1:5" x14ac:dyDescent="0.25">
      <c r="A71" t="str">
        <f t="shared" si="4"/>
        <v>18303</v>
      </c>
      <c r="B71" t="s">
        <v>889</v>
      </c>
      <c r="C71" t="s">
        <v>898</v>
      </c>
      <c r="D71" t="str">
        <f>"4542"</f>
        <v>4542</v>
      </c>
      <c r="E71" t="s">
        <v>818</v>
      </c>
    </row>
    <row r="72" spans="1:5" x14ac:dyDescent="0.25">
      <c r="A72" t="str">
        <f t="shared" si="4"/>
        <v>18303</v>
      </c>
      <c r="B72" t="s">
        <v>889</v>
      </c>
      <c r="C72" t="s">
        <v>899</v>
      </c>
      <c r="D72" t="str">
        <f>"4505"</f>
        <v>4505</v>
      </c>
      <c r="E72" t="s">
        <v>830</v>
      </c>
    </row>
    <row r="73" spans="1:5" x14ac:dyDescent="0.25">
      <c r="A73" t="str">
        <f>"27931"</f>
        <v>27931</v>
      </c>
      <c r="B73" t="s">
        <v>900</v>
      </c>
      <c r="C73" t="s">
        <v>901</v>
      </c>
      <c r="D73" t="str">
        <f>"5431"</f>
        <v>5431</v>
      </c>
      <c r="E73" t="s">
        <v>824</v>
      </c>
    </row>
    <row r="74" spans="1:5" x14ac:dyDescent="0.25">
      <c r="A74" t="str">
        <f>"27931"</f>
        <v>27931</v>
      </c>
      <c r="B74" t="s">
        <v>900</v>
      </c>
      <c r="C74" t="s">
        <v>902</v>
      </c>
      <c r="D74" t="str">
        <f>"5950"</f>
        <v>5950</v>
      </c>
      <c r="E74" t="s">
        <v>824</v>
      </c>
    </row>
    <row r="75" spans="1:5" x14ac:dyDescent="0.25">
      <c r="A75" t="str">
        <f t="shared" ref="A75:A95" si="5">"06119"</f>
        <v>06119</v>
      </c>
      <c r="B75" t="s">
        <v>903</v>
      </c>
      <c r="C75" t="s">
        <v>904</v>
      </c>
      <c r="D75" t="str">
        <f>"2671"</f>
        <v>2671</v>
      </c>
      <c r="E75" t="s">
        <v>830</v>
      </c>
    </row>
    <row r="76" spans="1:5" x14ac:dyDescent="0.25">
      <c r="A76" t="str">
        <f t="shared" si="5"/>
        <v>06119</v>
      </c>
      <c r="B76" t="s">
        <v>903</v>
      </c>
      <c r="C76" t="s">
        <v>905</v>
      </c>
      <c r="D76" t="str">
        <f>"2415"</f>
        <v>2415</v>
      </c>
      <c r="E76" t="s">
        <v>824</v>
      </c>
    </row>
    <row r="77" spans="1:5" x14ac:dyDescent="0.25">
      <c r="A77" t="str">
        <f t="shared" si="5"/>
        <v>06119</v>
      </c>
      <c r="B77" t="s">
        <v>903</v>
      </c>
      <c r="C77" t="s">
        <v>906</v>
      </c>
      <c r="D77" t="str">
        <f>"1836"</f>
        <v>1836</v>
      </c>
      <c r="E77" t="s">
        <v>821</v>
      </c>
    </row>
    <row r="78" spans="1:5" x14ac:dyDescent="0.25">
      <c r="A78" t="str">
        <f t="shared" si="5"/>
        <v>06119</v>
      </c>
      <c r="B78" t="s">
        <v>903</v>
      </c>
      <c r="C78" t="s">
        <v>907</v>
      </c>
      <c r="D78" t="str">
        <f>"4352"</f>
        <v>4352</v>
      </c>
      <c r="E78" t="s">
        <v>818</v>
      </c>
    </row>
    <row r="79" spans="1:5" x14ac:dyDescent="0.25">
      <c r="A79" t="str">
        <f t="shared" si="5"/>
        <v>06119</v>
      </c>
      <c r="B79" t="s">
        <v>903</v>
      </c>
      <c r="C79" t="s">
        <v>908</v>
      </c>
      <c r="D79" t="str">
        <f>"5133"</f>
        <v>5133</v>
      </c>
      <c r="E79" t="s">
        <v>830</v>
      </c>
    </row>
    <row r="80" spans="1:5" x14ac:dyDescent="0.25">
      <c r="A80" t="str">
        <f t="shared" si="5"/>
        <v>06119</v>
      </c>
      <c r="B80" t="s">
        <v>903</v>
      </c>
      <c r="C80" t="s">
        <v>909</v>
      </c>
      <c r="D80" t="str">
        <f>"5089"</f>
        <v>5089</v>
      </c>
      <c r="E80" t="s">
        <v>830</v>
      </c>
    </row>
    <row r="81" spans="1:5" x14ac:dyDescent="0.25">
      <c r="A81" t="str">
        <f t="shared" si="5"/>
        <v>06119</v>
      </c>
      <c r="B81" t="s">
        <v>903</v>
      </c>
      <c r="C81" t="s">
        <v>910</v>
      </c>
      <c r="D81" t="str">
        <f>"5090"</f>
        <v>5090</v>
      </c>
      <c r="E81" t="s">
        <v>818</v>
      </c>
    </row>
    <row r="82" spans="1:5" x14ac:dyDescent="0.25">
      <c r="A82" t="str">
        <f t="shared" si="5"/>
        <v>06119</v>
      </c>
      <c r="B82" t="s">
        <v>903</v>
      </c>
      <c r="C82" t="s">
        <v>911</v>
      </c>
      <c r="D82" t="str">
        <f>"5502"</f>
        <v>5502</v>
      </c>
      <c r="E82" t="s">
        <v>821</v>
      </c>
    </row>
    <row r="83" spans="1:5" x14ac:dyDescent="0.25">
      <c r="A83" t="str">
        <f t="shared" si="5"/>
        <v>06119</v>
      </c>
      <c r="B83" t="s">
        <v>903</v>
      </c>
      <c r="C83" t="s">
        <v>912</v>
      </c>
      <c r="D83" t="str">
        <f>"3018"</f>
        <v>3018</v>
      </c>
      <c r="E83" t="s">
        <v>818</v>
      </c>
    </row>
    <row r="84" spans="1:5" x14ac:dyDescent="0.25">
      <c r="A84" t="str">
        <f t="shared" si="5"/>
        <v>06119</v>
      </c>
      <c r="B84" t="s">
        <v>903</v>
      </c>
      <c r="C84" t="s">
        <v>913</v>
      </c>
      <c r="D84" t="str">
        <f>"1875"</f>
        <v>1875</v>
      </c>
      <c r="E84" t="s">
        <v>859</v>
      </c>
    </row>
    <row r="85" spans="1:5" x14ac:dyDescent="0.25">
      <c r="A85" t="str">
        <f t="shared" si="5"/>
        <v>06119</v>
      </c>
      <c r="B85" t="s">
        <v>903</v>
      </c>
      <c r="C85" t="s">
        <v>914</v>
      </c>
      <c r="D85" t="str">
        <f>"3545"</f>
        <v>3545</v>
      </c>
      <c r="E85" t="s">
        <v>830</v>
      </c>
    </row>
    <row r="86" spans="1:5" x14ac:dyDescent="0.25">
      <c r="A86" t="str">
        <f t="shared" si="5"/>
        <v>06119</v>
      </c>
      <c r="B86" t="s">
        <v>903</v>
      </c>
      <c r="C86" t="s">
        <v>915</v>
      </c>
      <c r="D86" t="str">
        <f>"5291"</f>
        <v>5291</v>
      </c>
      <c r="E86" t="s">
        <v>821</v>
      </c>
    </row>
    <row r="87" spans="1:5" x14ac:dyDescent="0.25">
      <c r="A87" t="str">
        <f t="shared" si="5"/>
        <v>06119</v>
      </c>
      <c r="B87" t="s">
        <v>903</v>
      </c>
      <c r="C87" t="s">
        <v>916</v>
      </c>
      <c r="D87" t="str">
        <f>"5360"</f>
        <v>5360</v>
      </c>
      <c r="E87" t="s">
        <v>824</v>
      </c>
    </row>
    <row r="88" spans="1:5" x14ac:dyDescent="0.25">
      <c r="A88" t="str">
        <f t="shared" si="5"/>
        <v>06119</v>
      </c>
      <c r="B88" t="s">
        <v>903</v>
      </c>
      <c r="C88" t="s">
        <v>917</v>
      </c>
      <c r="D88" t="str">
        <f>"3997"</f>
        <v>3997</v>
      </c>
      <c r="E88" t="s">
        <v>830</v>
      </c>
    </row>
    <row r="89" spans="1:5" x14ac:dyDescent="0.25">
      <c r="A89" t="str">
        <f t="shared" si="5"/>
        <v>06119</v>
      </c>
      <c r="B89" t="s">
        <v>903</v>
      </c>
      <c r="C89" t="s">
        <v>918</v>
      </c>
      <c r="D89" t="str">
        <f>"3996"</f>
        <v>3996</v>
      </c>
      <c r="E89" t="s">
        <v>818</v>
      </c>
    </row>
    <row r="90" spans="1:5" x14ac:dyDescent="0.25">
      <c r="A90" t="str">
        <f t="shared" si="5"/>
        <v>06119</v>
      </c>
      <c r="B90" t="s">
        <v>903</v>
      </c>
      <c r="C90" t="s">
        <v>919</v>
      </c>
      <c r="D90" t="str">
        <f>"4104"</f>
        <v>4104</v>
      </c>
      <c r="E90" t="s">
        <v>824</v>
      </c>
    </row>
    <row r="91" spans="1:5" x14ac:dyDescent="0.25">
      <c r="A91" t="str">
        <f t="shared" si="5"/>
        <v>06119</v>
      </c>
      <c r="B91" t="s">
        <v>903</v>
      </c>
      <c r="C91" t="s">
        <v>920</v>
      </c>
      <c r="D91" t="str">
        <f>"4108"</f>
        <v>4108</v>
      </c>
      <c r="E91" t="s">
        <v>826</v>
      </c>
    </row>
    <row r="92" spans="1:5" x14ac:dyDescent="0.25">
      <c r="A92" t="str">
        <f t="shared" si="5"/>
        <v>06119</v>
      </c>
      <c r="B92" t="s">
        <v>903</v>
      </c>
      <c r="C92" t="s">
        <v>921</v>
      </c>
      <c r="D92" t="str">
        <f>"4450"</f>
        <v>4450</v>
      </c>
      <c r="E92" t="s">
        <v>821</v>
      </c>
    </row>
    <row r="93" spans="1:5" x14ac:dyDescent="0.25">
      <c r="A93" t="str">
        <f t="shared" si="5"/>
        <v>06119</v>
      </c>
      <c r="B93" t="s">
        <v>903</v>
      </c>
      <c r="C93" t="s">
        <v>922</v>
      </c>
      <c r="D93" t="str">
        <f>"5131"</f>
        <v>5131</v>
      </c>
      <c r="E93" t="s">
        <v>830</v>
      </c>
    </row>
    <row r="94" spans="1:5" x14ac:dyDescent="0.25">
      <c r="A94" t="str">
        <f t="shared" si="5"/>
        <v>06119</v>
      </c>
      <c r="B94" t="s">
        <v>903</v>
      </c>
      <c r="C94" t="s">
        <v>923</v>
      </c>
      <c r="D94" t="str">
        <f>"5132"</f>
        <v>5132</v>
      </c>
      <c r="E94" t="s">
        <v>818</v>
      </c>
    </row>
    <row r="95" spans="1:5" x14ac:dyDescent="0.25">
      <c r="A95" t="str">
        <f t="shared" si="5"/>
        <v>06119</v>
      </c>
      <c r="B95" t="s">
        <v>903</v>
      </c>
      <c r="C95" t="s">
        <v>924</v>
      </c>
      <c r="D95" t="str">
        <f>"2910"</f>
        <v>2910</v>
      </c>
      <c r="E95" t="s">
        <v>818</v>
      </c>
    </row>
    <row r="96" spans="1:5" x14ac:dyDescent="0.25">
      <c r="A96" t="str">
        <f t="shared" ref="A96:A126" si="6">"17405"</f>
        <v>17405</v>
      </c>
      <c r="B96" t="s">
        <v>925</v>
      </c>
      <c r="C96" t="s">
        <v>926</v>
      </c>
      <c r="D96" t="str">
        <f>"3633"</f>
        <v>3633</v>
      </c>
      <c r="E96" t="s">
        <v>818</v>
      </c>
    </row>
    <row r="97" spans="1:5" x14ac:dyDescent="0.25">
      <c r="A97" t="str">
        <f t="shared" si="6"/>
        <v>17405</v>
      </c>
      <c r="B97" t="s">
        <v>925</v>
      </c>
      <c r="C97" t="s">
        <v>927</v>
      </c>
      <c r="D97" t="str">
        <f>"5240"</f>
        <v>5240</v>
      </c>
      <c r="E97" t="s">
        <v>821</v>
      </c>
    </row>
    <row r="98" spans="1:5" x14ac:dyDescent="0.25">
      <c r="A98" t="str">
        <f t="shared" si="6"/>
        <v>17405</v>
      </c>
      <c r="B98" t="s">
        <v>925</v>
      </c>
      <c r="C98" t="s">
        <v>928</v>
      </c>
      <c r="D98" t="str">
        <f>"2701"</f>
        <v>2701</v>
      </c>
      <c r="E98" t="s">
        <v>824</v>
      </c>
    </row>
    <row r="99" spans="1:5" x14ac:dyDescent="0.25">
      <c r="A99" t="str">
        <f t="shared" si="6"/>
        <v>17405</v>
      </c>
      <c r="B99" t="s">
        <v>925</v>
      </c>
      <c r="C99" t="s">
        <v>929</v>
      </c>
      <c r="D99" t="str">
        <f>"3705"</f>
        <v>3705</v>
      </c>
      <c r="E99" t="s">
        <v>818</v>
      </c>
    </row>
    <row r="100" spans="1:5" x14ac:dyDescent="0.25">
      <c r="A100" t="str">
        <f t="shared" si="6"/>
        <v>17405</v>
      </c>
      <c r="B100" t="s">
        <v>925</v>
      </c>
      <c r="C100" t="s">
        <v>930</v>
      </c>
      <c r="D100" t="str">
        <f>"5281"</f>
        <v>5281</v>
      </c>
      <c r="E100" t="s">
        <v>851</v>
      </c>
    </row>
    <row r="101" spans="1:5" x14ac:dyDescent="0.25">
      <c r="A101" t="str">
        <f t="shared" si="6"/>
        <v>17405</v>
      </c>
      <c r="B101" t="s">
        <v>925</v>
      </c>
      <c r="C101" t="s">
        <v>931</v>
      </c>
      <c r="D101" t="str">
        <f>"3742"</f>
        <v>3742</v>
      </c>
      <c r="E101" t="s">
        <v>818</v>
      </c>
    </row>
    <row r="102" spans="1:5" x14ac:dyDescent="0.25">
      <c r="A102" t="str">
        <f t="shared" si="6"/>
        <v>17405</v>
      </c>
      <c r="B102" t="s">
        <v>925</v>
      </c>
      <c r="C102" t="s">
        <v>932</v>
      </c>
      <c r="D102" t="str">
        <f>"3338"</f>
        <v>3338</v>
      </c>
      <c r="E102" t="s">
        <v>830</v>
      </c>
    </row>
    <row r="103" spans="1:5" x14ac:dyDescent="0.25">
      <c r="A103" t="str">
        <f t="shared" si="6"/>
        <v>17405</v>
      </c>
      <c r="B103" t="s">
        <v>925</v>
      </c>
      <c r="C103" t="s">
        <v>933</v>
      </c>
      <c r="D103" t="str">
        <f>"2847"</f>
        <v>2847</v>
      </c>
      <c r="E103" t="s">
        <v>818</v>
      </c>
    </row>
    <row r="104" spans="1:5" x14ac:dyDescent="0.25">
      <c r="A104" t="str">
        <f t="shared" si="6"/>
        <v>17405</v>
      </c>
      <c r="B104" t="s">
        <v>925</v>
      </c>
      <c r="C104" t="s">
        <v>934</v>
      </c>
      <c r="D104" t="str">
        <f>"3036"</f>
        <v>3036</v>
      </c>
      <c r="E104" t="s">
        <v>818</v>
      </c>
    </row>
    <row r="105" spans="1:5" x14ac:dyDescent="0.25">
      <c r="A105" t="str">
        <f t="shared" si="6"/>
        <v>17405</v>
      </c>
      <c r="B105" t="s">
        <v>925</v>
      </c>
      <c r="C105" t="s">
        <v>935</v>
      </c>
      <c r="D105" t="str">
        <f>"2846"</f>
        <v>2846</v>
      </c>
      <c r="E105" t="s">
        <v>818</v>
      </c>
    </row>
    <row r="106" spans="1:5" x14ac:dyDescent="0.25">
      <c r="A106" t="str">
        <f t="shared" si="6"/>
        <v>17405</v>
      </c>
      <c r="B106" t="s">
        <v>925</v>
      </c>
      <c r="C106" t="s">
        <v>936</v>
      </c>
      <c r="D106" t="str">
        <f>"5325"</f>
        <v>5325</v>
      </c>
      <c r="E106" t="s">
        <v>824</v>
      </c>
    </row>
    <row r="107" spans="1:5" x14ac:dyDescent="0.25">
      <c r="A107" t="str">
        <f t="shared" si="6"/>
        <v>17405</v>
      </c>
      <c r="B107" t="s">
        <v>925</v>
      </c>
      <c r="C107" t="s">
        <v>937</v>
      </c>
      <c r="D107" t="str">
        <f>"3166"</f>
        <v>3166</v>
      </c>
      <c r="E107" t="s">
        <v>830</v>
      </c>
    </row>
    <row r="108" spans="1:5" x14ac:dyDescent="0.25">
      <c r="A108" t="str">
        <f t="shared" si="6"/>
        <v>17405</v>
      </c>
      <c r="B108" t="s">
        <v>925</v>
      </c>
      <c r="C108" t="s">
        <v>938</v>
      </c>
      <c r="D108" t="str">
        <f>"3588"</f>
        <v>3588</v>
      </c>
      <c r="E108" t="s">
        <v>824</v>
      </c>
    </row>
    <row r="109" spans="1:5" x14ac:dyDescent="0.25">
      <c r="A109" t="str">
        <f t="shared" si="6"/>
        <v>17405</v>
      </c>
      <c r="B109" t="s">
        <v>925</v>
      </c>
      <c r="C109" t="s">
        <v>939</v>
      </c>
      <c r="D109" t="str">
        <f>"3522"</f>
        <v>3522</v>
      </c>
      <c r="E109" t="s">
        <v>821</v>
      </c>
    </row>
    <row r="110" spans="1:5" x14ac:dyDescent="0.25">
      <c r="A110" t="str">
        <f t="shared" si="6"/>
        <v>17405</v>
      </c>
      <c r="B110" t="s">
        <v>925</v>
      </c>
      <c r="C110" t="s">
        <v>940</v>
      </c>
      <c r="D110" t="str">
        <f>"5308"</f>
        <v>5308</v>
      </c>
      <c r="E110" t="s">
        <v>818</v>
      </c>
    </row>
    <row r="111" spans="1:5" x14ac:dyDescent="0.25">
      <c r="A111" t="str">
        <f t="shared" si="6"/>
        <v>17405</v>
      </c>
      <c r="B111" t="s">
        <v>925</v>
      </c>
      <c r="C111" t="s">
        <v>941</v>
      </c>
      <c r="D111" t="str">
        <f>"3225"</f>
        <v>3225</v>
      </c>
      <c r="E111" t="s">
        <v>818</v>
      </c>
    </row>
    <row r="112" spans="1:5" x14ac:dyDescent="0.25">
      <c r="A112" t="str">
        <f t="shared" si="6"/>
        <v>17405</v>
      </c>
      <c r="B112" t="s">
        <v>925</v>
      </c>
      <c r="C112" t="s">
        <v>942</v>
      </c>
      <c r="D112" t="str">
        <f>"3436"</f>
        <v>3436</v>
      </c>
      <c r="E112" t="s">
        <v>818</v>
      </c>
    </row>
    <row r="113" spans="1:5" x14ac:dyDescent="0.25">
      <c r="A113" t="str">
        <f t="shared" si="6"/>
        <v>17405</v>
      </c>
      <c r="B113" t="s">
        <v>925</v>
      </c>
      <c r="C113" t="s">
        <v>943</v>
      </c>
      <c r="D113" t="str">
        <f>"3437"</f>
        <v>3437</v>
      </c>
      <c r="E113" t="s">
        <v>818</v>
      </c>
    </row>
    <row r="114" spans="1:5" x14ac:dyDescent="0.25">
      <c r="A114" t="str">
        <f t="shared" si="6"/>
        <v>17405</v>
      </c>
      <c r="B114" t="s">
        <v>925</v>
      </c>
      <c r="C114" t="s">
        <v>944</v>
      </c>
      <c r="D114" t="str">
        <f>"3486"</f>
        <v>3486</v>
      </c>
      <c r="E114" t="s">
        <v>824</v>
      </c>
    </row>
    <row r="115" spans="1:5" x14ac:dyDescent="0.25">
      <c r="A115" t="str">
        <f t="shared" si="6"/>
        <v>17405</v>
      </c>
      <c r="B115" t="s">
        <v>925</v>
      </c>
      <c r="C115" t="s">
        <v>945</v>
      </c>
      <c r="D115" t="str">
        <f>"3631"</f>
        <v>3631</v>
      </c>
      <c r="E115" t="s">
        <v>830</v>
      </c>
    </row>
    <row r="116" spans="1:5" x14ac:dyDescent="0.25">
      <c r="A116" t="str">
        <f t="shared" si="6"/>
        <v>17405</v>
      </c>
      <c r="B116" t="s">
        <v>925</v>
      </c>
      <c r="C116" t="s">
        <v>946</v>
      </c>
      <c r="D116" t="str">
        <f>"3168"</f>
        <v>3168</v>
      </c>
      <c r="E116" t="s">
        <v>818</v>
      </c>
    </row>
    <row r="117" spans="1:5" x14ac:dyDescent="0.25">
      <c r="A117" t="str">
        <f t="shared" si="6"/>
        <v>17405</v>
      </c>
      <c r="B117" t="s">
        <v>925</v>
      </c>
      <c r="C117" t="s">
        <v>947</v>
      </c>
      <c r="D117" t="str">
        <f>"3224"</f>
        <v>3224</v>
      </c>
      <c r="E117" t="s">
        <v>818</v>
      </c>
    </row>
    <row r="118" spans="1:5" x14ac:dyDescent="0.25">
      <c r="A118" t="str">
        <f t="shared" si="6"/>
        <v>17405</v>
      </c>
      <c r="B118" t="s">
        <v>925</v>
      </c>
      <c r="C118" t="s">
        <v>948</v>
      </c>
      <c r="D118" t="str">
        <f>"3282"</f>
        <v>3282</v>
      </c>
      <c r="E118" t="s">
        <v>824</v>
      </c>
    </row>
    <row r="119" spans="1:5" x14ac:dyDescent="0.25">
      <c r="A119" t="str">
        <f t="shared" si="6"/>
        <v>17405</v>
      </c>
      <c r="B119" t="s">
        <v>925</v>
      </c>
      <c r="C119" t="s">
        <v>949</v>
      </c>
      <c r="D119" t="str">
        <f>"3339"</f>
        <v>3339</v>
      </c>
      <c r="E119" t="s">
        <v>818</v>
      </c>
    </row>
    <row r="120" spans="1:5" x14ac:dyDescent="0.25">
      <c r="A120" t="str">
        <f t="shared" si="6"/>
        <v>17405</v>
      </c>
      <c r="B120" t="s">
        <v>925</v>
      </c>
      <c r="C120" t="s">
        <v>950</v>
      </c>
      <c r="D120" t="str">
        <f>"3789"</f>
        <v>3789</v>
      </c>
      <c r="E120" t="s">
        <v>818</v>
      </c>
    </row>
    <row r="121" spans="1:5" x14ac:dyDescent="0.25">
      <c r="A121" t="str">
        <f t="shared" si="6"/>
        <v>17405</v>
      </c>
      <c r="B121" t="s">
        <v>925</v>
      </c>
      <c r="C121" t="s">
        <v>951</v>
      </c>
      <c r="D121" t="str">
        <f>"3634"</f>
        <v>3634</v>
      </c>
      <c r="E121" t="s">
        <v>818</v>
      </c>
    </row>
    <row r="122" spans="1:5" x14ac:dyDescent="0.25">
      <c r="A122" t="str">
        <f t="shared" si="6"/>
        <v>17405</v>
      </c>
      <c r="B122" t="s">
        <v>925</v>
      </c>
      <c r="C122" t="s">
        <v>952</v>
      </c>
      <c r="D122" t="str">
        <f>"3100"</f>
        <v>3100</v>
      </c>
      <c r="E122" t="s">
        <v>818</v>
      </c>
    </row>
    <row r="123" spans="1:5" x14ac:dyDescent="0.25">
      <c r="A123" t="str">
        <f t="shared" si="6"/>
        <v>17405</v>
      </c>
      <c r="B123" t="s">
        <v>925</v>
      </c>
      <c r="C123" t="s">
        <v>953</v>
      </c>
      <c r="D123" t="str">
        <f>"3435"</f>
        <v>3435</v>
      </c>
      <c r="E123" t="s">
        <v>830</v>
      </c>
    </row>
    <row r="124" spans="1:5" x14ac:dyDescent="0.25">
      <c r="A124" t="str">
        <f t="shared" si="6"/>
        <v>17405</v>
      </c>
      <c r="B124" t="s">
        <v>925</v>
      </c>
      <c r="C124" t="s">
        <v>954</v>
      </c>
      <c r="D124" t="str">
        <f>"3283"</f>
        <v>3283</v>
      </c>
      <c r="E124" t="s">
        <v>830</v>
      </c>
    </row>
    <row r="125" spans="1:5" x14ac:dyDescent="0.25">
      <c r="A125" t="str">
        <f t="shared" si="6"/>
        <v>17405</v>
      </c>
      <c r="B125" t="s">
        <v>925</v>
      </c>
      <c r="C125" t="s">
        <v>955</v>
      </c>
      <c r="D125" t="str">
        <f>"5508"</f>
        <v>5508</v>
      </c>
      <c r="E125" t="s">
        <v>818</v>
      </c>
    </row>
    <row r="126" spans="1:5" x14ac:dyDescent="0.25">
      <c r="A126" t="str">
        <f t="shared" si="6"/>
        <v>17405</v>
      </c>
      <c r="B126" t="s">
        <v>925</v>
      </c>
      <c r="C126" t="s">
        <v>956</v>
      </c>
      <c r="D126" t="str">
        <f>"3167"</f>
        <v>3167</v>
      </c>
      <c r="E126" t="s">
        <v>818</v>
      </c>
    </row>
    <row r="127" spans="1:5" x14ac:dyDescent="0.25">
      <c r="A127" t="str">
        <f t="shared" ref="A127:A151" si="7">"37501"</f>
        <v>37501</v>
      </c>
      <c r="B127" t="s">
        <v>957</v>
      </c>
      <c r="C127" t="s">
        <v>958</v>
      </c>
      <c r="D127" t="str">
        <f>"3200"</f>
        <v>3200</v>
      </c>
      <c r="E127" t="s">
        <v>818</v>
      </c>
    </row>
    <row r="128" spans="1:5" x14ac:dyDescent="0.25">
      <c r="A128" t="str">
        <f t="shared" si="7"/>
        <v>37501</v>
      </c>
      <c r="B128" t="s">
        <v>957</v>
      </c>
      <c r="C128" t="s">
        <v>959</v>
      </c>
      <c r="D128" t="str">
        <f>"5366"</f>
        <v>5366</v>
      </c>
      <c r="E128" t="s">
        <v>859</v>
      </c>
    </row>
    <row r="129" spans="1:5" x14ac:dyDescent="0.25">
      <c r="A129" t="str">
        <f t="shared" si="7"/>
        <v>37501</v>
      </c>
      <c r="B129" t="s">
        <v>957</v>
      </c>
      <c r="C129" t="s">
        <v>960</v>
      </c>
      <c r="D129" t="str">
        <f>"2553"</f>
        <v>2553</v>
      </c>
      <c r="E129" t="s">
        <v>824</v>
      </c>
    </row>
    <row r="130" spans="1:5" x14ac:dyDescent="0.25">
      <c r="A130" t="str">
        <f t="shared" si="7"/>
        <v>37501</v>
      </c>
      <c r="B130" t="s">
        <v>957</v>
      </c>
      <c r="C130" t="s">
        <v>961</v>
      </c>
      <c r="D130" t="str">
        <f>"5340"</f>
        <v>5340</v>
      </c>
      <c r="E130" t="s">
        <v>824</v>
      </c>
    </row>
    <row r="131" spans="1:5" x14ac:dyDescent="0.25">
      <c r="A131" t="str">
        <f t="shared" si="7"/>
        <v>37501</v>
      </c>
      <c r="B131" t="s">
        <v>957</v>
      </c>
      <c r="C131" t="s">
        <v>962</v>
      </c>
      <c r="D131" t="str">
        <f>"2431"</f>
        <v>2431</v>
      </c>
      <c r="E131" t="s">
        <v>818</v>
      </c>
    </row>
    <row r="132" spans="1:5" x14ac:dyDescent="0.25">
      <c r="A132" t="str">
        <f t="shared" si="7"/>
        <v>37501</v>
      </c>
      <c r="B132" t="s">
        <v>957</v>
      </c>
      <c r="C132" t="s">
        <v>963</v>
      </c>
      <c r="D132" t="str">
        <f>"2817"</f>
        <v>2817</v>
      </c>
      <c r="E132" t="s">
        <v>818</v>
      </c>
    </row>
    <row r="133" spans="1:5" x14ac:dyDescent="0.25">
      <c r="A133" t="str">
        <f t="shared" si="7"/>
        <v>37501</v>
      </c>
      <c r="B133" t="s">
        <v>957</v>
      </c>
      <c r="C133" t="s">
        <v>964</v>
      </c>
      <c r="D133" t="str">
        <f>"2365"</f>
        <v>2365</v>
      </c>
      <c r="E133" t="s">
        <v>818</v>
      </c>
    </row>
    <row r="134" spans="1:5" x14ac:dyDescent="0.25">
      <c r="A134" t="str">
        <f t="shared" si="7"/>
        <v>37501</v>
      </c>
      <c r="B134" t="s">
        <v>957</v>
      </c>
      <c r="C134" t="s">
        <v>965</v>
      </c>
      <c r="D134" t="str">
        <f>"5239"</f>
        <v>5239</v>
      </c>
      <c r="E134" t="s">
        <v>818</v>
      </c>
    </row>
    <row r="135" spans="1:5" x14ac:dyDescent="0.25">
      <c r="A135" t="str">
        <f t="shared" si="7"/>
        <v>37501</v>
      </c>
      <c r="B135" t="s">
        <v>957</v>
      </c>
      <c r="C135" t="s">
        <v>966</v>
      </c>
      <c r="D135" t="str">
        <f>"2066"</f>
        <v>2066</v>
      </c>
      <c r="E135" t="s">
        <v>830</v>
      </c>
    </row>
    <row r="136" spans="1:5" x14ac:dyDescent="0.25">
      <c r="A136" t="str">
        <f t="shared" si="7"/>
        <v>37501</v>
      </c>
      <c r="B136" t="s">
        <v>957</v>
      </c>
      <c r="C136" t="s">
        <v>967</v>
      </c>
      <c r="D136" t="str">
        <f>"2262"</f>
        <v>2262</v>
      </c>
      <c r="E136" t="s">
        <v>818</v>
      </c>
    </row>
    <row r="137" spans="1:5" x14ac:dyDescent="0.25">
      <c r="A137" t="str">
        <f t="shared" si="7"/>
        <v>37501</v>
      </c>
      <c r="B137" t="s">
        <v>957</v>
      </c>
      <c r="C137" t="s">
        <v>968</v>
      </c>
      <c r="D137" t="str">
        <f>"3134"</f>
        <v>3134</v>
      </c>
      <c r="E137" t="s">
        <v>818</v>
      </c>
    </row>
    <row r="138" spans="1:5" x14ac:dyDescent="0.25">
      <c r="A138" t="str">
        <f t="shared" si="7"/>
        <v>37501</v>
      </c>
      <c r="B138" t="s">
        <v>957</v>
      </c>
      <c r="C138" t="s">
        <v>969</v>
      </c>
      <c r="D138" t="str">
        <f>"4442"</f>
        <v>4442</v>
      </c>
      <c r="E138" t="s">
        <v>830</v>
      </c>
    </row>
    <row r="139" spans="1:5" x14ac:dyDescent="0.25">
      <c r="A139" t="str">
        <f t="shared" si="7"/>
        <v>37501</v>
      </c>
      <c r="B139" t="s">
        <v>957</v>
      </c>
      <c r="C139" t="s">
        <v>970</v>
      </c>
      <c r="D139" t="str">
        <f>"2225"</f>
        <v>2225</v>
      </c>
      <c r="E139" t="s">
        <v>818</v>
      </c>
    </row>
    <row r="140" spans="1:5" x14ac:dyDescent="0.25">
      <c r="A140" t="str">
        <f t="shared" si="7"/>
        <v>37501</v>
      </c>
      <c r="B140" t="s">
        <v>957</v>
      </c>
      <c r="C140" t="s">
        <v>971</v>
      </c>
      <c r="D140" t="str">
        <f>"4571"</f>
        <v>4571</v>
      </c>
      <c r="E140" t="s">
        <v>818</v>
      </c>
    </row>
    <row r="141" spans="1:5" x14ac:dyDescent="0.25">
      <c r="A141" t="str">
        <f t="shared" si="7"/>
        <v>37501</v>
      </c>
      <c r="B141" t="s">
        <v>957</v>
      </c>
      <c r="C141" t="s">
        <v>972</v>
      </c>
      <c r="D141" t="str">
        <f>"1647"</f>
        <v>1647</v>
      </c>
      <c r="E141" t="s">
        <v>824</v>
      </c>
    </row>
    <row r="142" spans="1:5" x14ac:dyDescent="0.25">
      <c r="A142" t="str">
        <f t="shared" si="7"/>
        <v>37501</v>
      </c>
      <c r="B142" t="s">
        <v>957</v>
      </c>
      <c r="C142" t="s">
        <v>973</v>
      </c>
      <c r="D142" t="str">
        <f>"3202"</f>
        <v>3202</v>
      </c>
      <c r="E142" t="s">
        <v>818</v>
      </c>
    </row>
    <row r="143" spans="1:5" x14ac:dyDescent="0.25">
      <c r="A143" t="str">
        <f t="shared" si="7"/>
        <v>37501</v>
      </c>
      <c r="B143" t="s">
        <v>957</v>
      </c>
      <c r="C143" t="s">
        <v>974</v>
      </c>
      <c r="D143" t="str">
        <f>"2067"</f>
        <v>2067</v>
      </c>
      <c r="E143" t="s">
        <v>818</v>
      </c>
    </row>
    <row r="144" spans="1:5" x14ac:dyDescent="0.25">
      <c r="A144" t="str">
        <f t="shared" si="7"/>
        <v>37501</v>
      </c>
      <c r="B144" t="s">
        <v>957</v>
      </c>
      <c r="C144" t="s">
        <v>975</v>
      </c>
      <c r="D144" t="str">
        <f>"3576"</f>
        <v>3576</v>
      </c>
      <c r="E144" t="s">
        <v>824</v>
      </c>
    </row>
    <row r="145" spans="1:5" x14ac:dyDescent="0.25">
      <c r="A145" t="str">
        <f t="shared" si="7"/>
        <v>37501</v>
      </c>
      <c r="B145" t="s">
        <v>957</v>
      </c>
      <c r="C145" t="s">
        <v>976</v>
      </c>
      <c r="D145" t="str">
        <f>"3201"</f>
        <v>3201</v>
      </c>
      <c r="E145" t="s">
        <v>830</v>
      </c>
    </row>
    <row r="146" spans="1:5" x14ac:dyDescent="0.25">
      <c r="A146" t="str">
        <f t="shared" si="7"/>
        <v>37501</v>
      </c>
      <c r="B146" t="s">
        <v>957</v>
      </c>
      <c r="C146" t="s">
        <v>977</v>
      </c>
      <c r="D146" t="str">
        <f>"2175"</f>
        <v>2175</v>
      </c>
      <c r="E146" t="s">
        <v>818</v>
      </c>
    </row>
    <row r="147" spans="1:5" x14ac:dyDescent="0.25">
      <c r="A147" t="str">
        <f t="shared" si="7"/>
        <v>37501</v>
      </c>
      <c r="B147" t="s">
        <v>957</v>
      </c>
      <c r="C147" t="s">
        <v>978</v>
      </c>
      <c r="D147" t="str">
        <f>"4515"</f>
        <v>4515</v>
      </c>
      <c r="E147" t="s">
        <v>824</v>
      </c>
    </row>
    <row r="148" spans="1:5" x14ac:dyDescent="0.25">
      <c r="A148" t="str">
        <f t="shared" si="7"/>
        <v>37501</v>
      </c>
      <c r="B148" t="s">
        <v>957</v>
      </c>
      <c r="C148" t="s">
        <v>979</v>
      </c>
      <c r="D148" t="str">
        <f>"2387"</f>
        <v>2387</v>
      </c>
      <c r="E148" t="s">
        <v>818</v>
      </c>
    </row>
    <row r="149" spans="1:5" x14ac:dyDescent="0.25">
      <c r="A149" t="str">
        <f t="shared" si="7"/>
        <v>37501</v>
      </c>
      <c r="B149" t="s">
        <v>957</v>
      </c>
      <c r="C149" t="s">
        <v>980</v>
      </c>
      <c r="D149" t="str">
        <f>"1799"</f>
        <v>1799</v>
      </c>
      <c r="E149" t="s">
        <v>821</v>
      </c>
    </row>
    <row r="150" spans="1:5" x14ac:dyDescent="0.25">
      <c r="A150" t="str">
        <f t="shared" si="7"/>
        <v>37501</v>
      </c>
      <c r="B150" t="s">
        <v>957</v>
      </c>
      <c r="C150" t="s">
        <v>981</v>
      </c>
      <c r="D150" t="str">
        <f>"5125"</f>
        <v>5125</v>
      </c>
      <c r="E150" t="s">
        <v>818</v>
      </c>
    </row>
    <row r="151" spans="1:5" x14ac:dyDescent="0.25">
      <c r="A151" t="str">
        <f t="shared" si="7"/>
        <v>37501</v>
      </c>
      <c r="B151" t="s">
        <v>957</v>
      </c>
      <c r="C151" t="s">
        <v>982</v>
      </c>
      <c r="D151" t="str">
        <f>"2075"</f>
        <v>2075</v>
      </c>
      <c r="E151" t="s">
        <v>830</v>
      </c>
    </row>
    <row r="152" spans="1:5" x14ac:dyDescent="0.25">
      <c r="A152" t="str">
        <f>"01122"</f>
        <v>01122</v>
      </c>
      <c r="B152" t="s">
        <v>983</v>
      </c>
      <c r="C152" t="s">
        <v>984</v>
      </c>
      <c r="D152" t="str">
        <f>"3142"</f>
        <v>3142</v>
      </c>
      <c r="E152" t="s">
        <v>818</v>
      </c>
    </row>
    <row r="153" spans="1:5" x14ac:dyDescent="0.25">
      <c r="A153" t="str">
        <f t="shared" ref="A153:A184" si="8">"27403"</f>
        <v>27403</v>
      </c>
      <c r="B153" t="s">
        <v>985</v>
      </c>
      <c r="C153" t="s">
        <v>986</v>
      </c>
      <c r="D153" t="str">
        <f>"5372"</f>
        <v>5372</v>
      </c>
      <c r="E153" t="s">
        <v>824</v>
      </c>
    </row>
    <row r="154" spans="1:5" x14ac:dyDescent="0.25">
      <c r="A154" t="str">
        <f t="shared" si="8"/>
        <v>27403</v>
      </c>
      <c r="B154" t="s">
        <v>985</v>
      </c>
      <c r="C154" t="s">
        <v>987</v>
      </c>
      <c r="D154" t="str">
        <f>"5471"</f>
        <v>5471</v>
      </c>
      <c r="E154" t="s">
        <v>818</v>
      </c>
    </row>
    <row r="155" spans="1:5" x14ac:dyDescent="0.25">
      <c r="A155" t="str">
        <f t="shared" si="8"/>
        <v>27403</v>
      </c>
      <c r="B155" t="s">
        <v>985</v>
      </c>
      <c r="C155" t="s">
        <v>988</v>
      </c>
      <c r="D155" t="str">
        <f>"2807"</f>
        <v>2807</v>
      </c>
      <c r="E155" t="s">
        <v>824</v>
      </c>
    </row>
    <row r="156" spans="1:5" x14ac:dyDescent="0.25">
      <c r="A156" t="str">
        <f t="shared" si="8"/>
        <v>27403</v>
      </c>
      <c r="B156" t="s">
        <v>985</v>
      </c>
      <c r="C156" t="s">
        <v>989</v>
      </c>
      <c r="D156" t="str">
        <f>"3250"</f>
        <v>3250</v>
      </c>
      <c r="E156" t="s">
        <v>830</v>
      </c>
    </row>
    <row r="157" spans="1:5" x14ac:dyDescent="0.25">
      <c r="A157" t="str">
        <f t="shared" si="8"/>
        <v>27403</v>
      </c>
      <c r="B157" t="s">
        <v>985</v>
      </c>
      <c r="C157" t="s">
        <v>990</v>
      </c>
      <c r="D157" t="str">
        <f>"4296"</f>
        <v>4296</v>
      </c>
      <c r="E157" t="s">
        <v>818</v>
      </c>
    </row>
    <row r="158" spans="1:5" x14ac:dyDescent="0.25">
      <c r="A158" t="str">
        <f t="shared" si="8"/>
        <v>27403</v>
      </c>
      <c r="B158" t="s">
        <v>985</v>
      </c>
      <c r="C158" t="s">
        <v>991</v>
      </c>
      <c r="D158" t="str">
        <f>"4186"</f>
        <v>4186</v>
      </c>
      <c r="E158" t="s">
        <v>830</v>
      </c>
    </row>
    <row r="159" spans="1:5" x14ac:dyDescent="0.25">
      <c r="A159" t="str">
        <f t="shared" si="8"/>
        <v>27403</v>
      </c>
      <c r="B159" t="s">
        <v>985</v>
      </c>
      <c r="C159" t="s">
        <v>992</v>
      </c>
      <c r="D159" t="str">
        <f>"4331"</f>
        <v>4331</v>
      </c>
      <c r="E159" t="s">
        <v>818</v>
      </c>
    </row>
    <row r="160" spans="1:5" x14ac:dyDescent="0.25">
      <c r="A160" t="str">
        <f t="shared" si="8"/>
        <v>27403</v>
      </c>
      <c r="B160" t="s">
        <v>985</v>
      </c>
      <c r="C160" t="s">
        <v>993</v>
      </c>
      <c r="D160" t="str">
        <f>"1510"</f>
        <v>1510</v>
      </c>
      <c r="E160" t="s">
        <v>821</v>
      </c>
    </row>
    <row r="161" spans="1:5" x14ac:dyDescent="0.25">
      <c r="A161" t="str">
        <f t="shared" si="8"/>
        <v>27403</v>
      </c>
      <c r="B161" t="s">
        <v>985</v>
      </c>
      <c r="C161" t="s">
        <v>994</v>
      </c>
      <c r="D161" t="str">
        <f>"3649"</f>
        <v>3649</v>
      </c>
      <c r="E161" t="s">
        <v>818</v>
      </c>
    </row>
    <row r="162" spans="1:5" x14ac:dyDescent="0.25">
      <c r="A162" t="str">
        <f t="shared" si="8"/>
        <v>27403</v>
      </c>
      <c r="B162" t="s">
        <v>985</v>
      </c>
      <c r="C162" t="s">
        <v>995</v>
      </c>
      <c r="D162" t="str">
        <f>"2576"</f>
        <v>2576</v>
      </c>
      <c r="E162" t="s">
        <v>818</v>
      </c>
    </row>
    <row r="163" spans="1:5" x14ac:dyDescent="0.25">
      <c r="A163" t="str">
        <f t="shared" si="8"/>
        <v>27403</v>
      </c>
      <c r="B163" t="s">
        <v>985</v>
      </c>
      <c r="C163" t="s">
        <v>996</v>
      </c>
      <c r="D163" t="str">
        <f>"4578"</f>
        <v>4578</v>
      </c>
      <c r="E163" t="s">
        <v>830</v>
      </c>
    </row>
    <row r="164" spans="1:5" x14ac:dyDescent="0.25">
      <c r="A164" t="str">
        <f t="shared" si="8"/>
        <v>27403</v>
      </c>
      <c r="B164" t="s">
        <v>985</v>
      </c>
      <c r="C164" t="s">
        <v>997</v>
      </c>
      <c r="D164" t="str">
        <f>"1945"</f>
        <v>1945</v>
      </c>
      <c r="E164" t="s">
        <v>826</v>
      </c>
    </row>
    <row r="165" spans="1:5" x14ac:dyDescent="0.25">
      <c r="A165" t="str">
        <f t="shared" si="8"/>
        <v>27403</v>
      </c>
      <c r="B165" t="s">
        <v>985</v>
      </c>
      <c r="C165" t="s">
        <v>998</v>
      </c>
      <c r="D165" t="str">
        <f>"2877"</f>
        <v>2877</v>
      </c>
      <c r="E165" t="s">
        <v>818</v>
      </c>
    </row>
    <row r="166" spans="1:5" x14ac:dyDescent="0.25">
      <c r="A166" t="str">
        <f t="shared" si="8"/>
        <v>27403</v>
      </c>
      <c r="B166" t="s">
        <v>985</v>
      </c>
      <c r="C166" t="s">
        <v>999</v>
      </c>
      <c r="D166" t="str">
        <f>"4099"</f>
        <v>4099</v>
      </c>
      <c r="E166" t="s">
        <v>818</v>
      </c>
    </row>
    <row r="167" spans="1:5" x14ac:dyDescent="0.25">
      <c r="A167" t="str">
        <f t="shared" si="8"/>
        <v>27403</v>
      </c>
      <c r="B167" t="s">
        <v>985</v>
      </c>
      <c r="C167" t="s">
        <v>1000</v>
      </c>
      <c r="D167" t="str">
        <f>"5159"</f>
        <v>5159</v>
      </c>
      <c r="E167" t="s">
        <v>818</v>
      </c>
    </row>
    <row r="168" spans="1:5" x14ac:dyDescent="0.25">
      <c r="A168" t="str">
        <f t="shared" si="8"/>
        <v>27403</v>
      </c>
      <c r="B168" t="s">
        <v>985</v>
      </c>
      <c r="C168" t="s">
        <v>1001</v>
      </c>
      <c r="D168" t="str">
        <f>"4407"</f>
        <v>4407</v>
      </c>
      <c r="E168" t="s">
        <v>830</v>
      </c>
    </row>
    <row r="169" spans="1:5" x14ac:dyDescent="0.25">
      <c r="A169" t="str">
        <f t="shared" si="8"/>
        <v>27403</v>
      </c>
      <c r="B169" t="s">
        <v>985</v>
      </c>
      <c r="C169" t="s">
        <v>1002</v>
      </c>
      <c r="D169" t="str">
        <f>"4297"</f>
        <v>4297</v>
      </c>
      <c r="E169" t="s">
        <v>818</v>
      </c>
    </row>
    <row r="170" spans="1:5" x14ac:dyDescent="0.25">
      <c r="A170" t="str">
        <f t="shared" si="8"/>
        <v>27403</v>
      </c>
      <c r="B170" t="s">
        <v>985</v>
      </c>
      <c r="C170" t="s">
        <v>1003</v>
      </c>
      <c r="D170" t="str">
        <f>"5033"</f>
        <v>5033</v>
      </c>
      <c r="E170" t="s">
        <v>824</v>
      </c>
    </row>
    <row r="171" spans="1:5" x14ac:dyDescent="0.25">
      <c r="A171" t="str">
        <f t="shared" si="8"/>
        <v>27403</v>
      </c>
      <c r="B171" t="s">
        <v>985</v>
      </c>
      <c r="C171" t="s">
        <v>1004</v>
      </c>
      <c r="D171" t="str">
        <f>"2748"</f>
        <v>2748</v>
      </c>
      <c r="E171" t="s">
        <v>818</v>
      </c>
    </row>
    <row r="172" spans="1:5" x14ac:dyDescent="0.25">
      <c r="A172" t="str">
        <f t="shared" si="8"/>
        <v>27403</v>
      </c>
      <c r="B172" t="s">
        <v>985</v>
      </c>
      <c r="C172" t="s">
        <v>1005</v>
      </c>
      <c r="D172" t="str">
        <f>"5206"</f>
        <v>5206</v>
      </c>
      <c r="E172" t="s">
        <v>1006</v>
      </c>
    </row>
    <row r="173" spans="1:5" x14ac:dyDescent="0.25">
      <c r="A173" t="str">
        <f t="shared" si="8"/>
        <v>27403</v>
      </c>
      <c r="B173" t="s">
        <v>985</v>
      </c>
      <c r="C173" t="s">
        <v>1007</v>
      </c>
      <c r="D173" t="str">
        <f>"4102"</f>
        <v>4102</v>
      </c>
      <c r="E173" t="s">
        <v>818</v>
      </c>
    </row>
    <row r="174" spans="1:5" x14ac:dyDescent="0.25">
      <c r="A174" t="str">
        <f t="shared" si="8"/>
        <v>27403</v>
      </c>
      <c r="B174" t="s">
        <v>985</v>
      </c>
      <c r="C174" t="s">
        <v>1008</v>
      </c>
      <c r="D174" t="str">
        <f>"5160"</f>
        <v>5160</v>
      </c>
      <c r="E174" t="s">
        <v>818</v>
      </c>
    </row>
    <row r="175" spans="1:5" x14ac:dyDescent="0.25">
      <c r="A175" t="str">
        <f t="shared" si="8"/>
        <v>27403</v>
      </c>
      <c r="B175" t="s">
        <v>985</v>
      </c>
      <c r="C175" t="s">
        <v>1009</v>
      </c>
      <c r="D175" t="str">
        <f>"4538"</f>
        <v>4538</v>
      </c>
      <c r="E175" t="s">
        <v>818</v>
      </c>
    </row>
    <row r="176" spans="1:5" x14ac:dyDescent="0.25">
      <c r="A176" t="str">
        <f t="shared" si="8"/>
        <v>27403</v>
      </c>
      <c r="B176" t="s">
        <v>985</v>
      </c>
      <c r="C176" t="s">
        <v>1010</v>
      </c>
      <c r="D176" t="str">
        <f>"5961"</f>
        <v>5961</v>
      </c>
      <c r="E176" t="s">
        <v>824</v>
      </c>
    </row>
    <row r="177" spans="1:5" x14ac:dyDescent="0.25">
      <c r="A177" t="str">
        <f t="shared" si="8"/>
        <v>27403</v>
      </c>
      <c r="B177" t="s">
        <v>985</v>
      </c>
      <c r="C177" t="s">
        <v>1011</v>
      </c>
      <c r="D177" t="str">
        <f>"4381"</f>
        <v>4381</v>
      </c>
      <c r="E177" t="s">
        <v>818</v>
      </c>
    </row>
    <row r="178" spans="1:5" x14ac:dyDescent="0.25">
      <c r="A178" t="str">
        <f t="shared" si="8"/>
        <v>27403</v>
      </c>
      <c r="B178" t="s">
        <v>985</v>
      </c>
      <c r="C178" t="s">
        <v>1012</v>
      </c>
      <c r="D178" t="str">
        <f>"4227"</f>
        <v>4227</v>
      </c>
      <c r="E178" t="s">
        <v>818</v>
      </c>
    </row>
    <row r="179" spans="1:5" x14ac:dyDescent="0.25">
      <c r="A179" t="str">
        <f t="shared" si="8"/>
        <v>27403</v>
      </c>
      <c r="B179" t="s">
        <v>985</v>
      </c>
      <c r="C179" t="s">
        <v>1013</v>
      </c>
      <c r="D179" t="str">
        <f>"2543"</f>
        <v>2543</v>
      </c>
      <c r="E179" t="s">
        <v>818</v>
      </c>
    </row>
    <row r="180" spans="1:5" x14ac:dyDescent="0.25">
      <c r="A180" t="str">
        <f t="shared" si="8"/>
        <v>27403</v>
      </c>
      <c r="B180" t="s">
        <v>985</v>
      </c>
      <c r="C180" t="s">
        <v>1014</v>
      </c>
      <c r="D180" t="str">
        <f>"4103"</f>
        <v>4103</v>
      </c>
      <c r="E180" t="s">
        <v>818</v>
      </c>
    </row>
    <row r="181" spans="1:5" x14ac:dyDescent="0.25">
      <c r="A181" t="str">
        <f t="shared" si="8"/>
        <v>27403</v>
      </c>
      <c r="B181" t="s">
        <v>985</v>
      </c>
      <c r="C181" t="s">
        <v>1015</v>
      </c>
      <c r="D181" t="str">
        <f>"2399"</f>
        <v>2399</v>
      </c>
      <c r="E181" t="s">
        <v>818</v>
      </c>
    </row>
    <row r="182" spans="1:5" x14ac:dyDescent="0.25">
      <c r="A182" t="str">
        <f t="shared" si="8"/>
        <v>27403</v>
      </c>
      <c r="B182" t="s">
        <v>985</v>
      </c>
      <c r="C182" t="s">
        <v>1016</v>
      </c>
      <c r="D182" t="str">
        <f>"4158"</f>
        <v>4158</v>
      </c>
      <c r="E182" t="s">
        <v>824</v>
      </c>
    </row>
    <row r="183" spans="1:5" x14ac:dyDescent="0.25">
      <c r="A183" t="str">
        <f t="shared" si="8"/>
        <v>27403</v>
      </c>
      <c r="B183" t="s">
        <v>985</v>
      </c>
      <c r="C183" t="s">
        <v>1017</v>
      </c>
      <c r="D183" t="str">
        <f>"3751"</f>
        <v>3751</v>
      </c>
      <c r="E183" t="s">
        <v>830</v>
      </c>
    </row>
    <row r="184" spans="1:5" x14ac:dyDescent="0.25">
      <c r="A184" t="str">
        <f t="shared" si="8"/>
        <v>27403</v>
      </c>
      <c r="B184" t="s">
        <v>985</v>
      </c>
      <c r="C184" t="s">
        <v>1018</v>
      </c>
      <c r="D184" t="str">
        <f>"1560"</f>
        <v>1560</v>
      </c>
      <c r="E184" t="s">
        <v>826</v>
      </c>
    </row>
    <row r="185" spans="1:5" x14ac:dyDescent="0.25">
      <c r="A185" t="str">
        <f>"20203"</f>
        <v>20203</v>
      </c>
      <c r="B185" t="s">
        <v>1019</v>
      </c>
      <c r="C185" t="s">
        <v>1020</v>
      </c>
      <c r="D185" t="str">
        <f>"3392"</f>
        <v>3392</v>
      </c>
      <c r="E185" t="s">
        <v>859</v>
      </c>
    </row>
    <row r="186" spans="1:5" x14ac:dyDescent="0.25">
      <c r="A186" t="str">
        <f t="shared" ref="A186:A192" si="9">"37503"</f>
        <v>37503</v>
      </c>
      <c r="B186" t="s">
        <v>1021</v>
      </c>
      <c r="C186" t="s">
        <v>1022</v>
      </c>
      <c r="D186" t="str">
        <f>"2713"</f>
        <v>2713</v>
      </c>
      <c r="E186" t="s">
        <v>818</v>
      </c>
    </row>
    <row r="187" spans="1:5" x14ac:dyDescent="0.25">
      <c r="A187" t="str">
        <f t="shared" si="9"/>
        <v>37503</v>
      </c>
      <c r="B187" t="s">
        <v>1021</v>
      </c>
      <c r="C187" t="s">
        <v>1023</v>
      </c>
      <c r="D187" t="str">
        <f>"3136"</f>
        <v>3136</v>
      </c>
      <c r="E187" t="s">
        <v>824</v>
      </c>
    </row>
    <row r="188" spans="1:5" x14ac:dyDescent="0.25">
      <c r="A188" t="str">
        <f t="shared" si="9"/>
        <v>37503</v>
      </c>
      <c r="B188" t="s">
        <v>1021</v>
      </c>
      <c r="C188" t="s">
        <v>1024</v>
      </c>
      <c r="D188" t="str">
        <f>"5021"</f>
        <v>5021</v>
      </c>
      <c r="E188" t="s">
        <v>821</v>
      </c>
    </row>
    <row r="189" spans="1:5" x14ac:dyDescent="0.25">
      <c r="A189" t="str">
        <f t="shared" si="9"/>
        <v>37503</v>
      </c>
      <c r="B189" t="s">
        <v>1021</v>
      </c>
      <c r="C189" t="s">
        <v>1025</v>
      </c>
      <c r="D189" t="str">
        <f>"3796"</f>
        <v>3796</v>
      </c>
      <c r="E189" t="s">
        <v>830</v>
      </c>
    </row>
    <row r="190" spans="1:5" x14ac:dyDescent="0.25">
      <c r="A190" t="str">
        <f t="shared" si="9"/>
        <v>37503</v>
      </c>
      <c r="B190" t="s">
        <v>1021</v>
      </c>
      <c r="C190" t="s">
        <v>1026</v>
      </c>
      <c r="D190" t="str">
        <f>"4476"</f>
        <v>4476</v>
      </c>
      <c r="E190" t="s">
        <v>818</v>
      </c>
    </row>
    <row r="191" spans="1:5" x14ac:dyDescent="0.25">
      <c r="A191" t="str">
        <f t="shared" si="9"/>
        <v>37503</v>
      </c>
      <c r="B191" t="s">
        <v>1021</v>
      </c>
      <c r="C191" t="s">
        <v>1027</v>
      </c>
      <c r="D191" t="str">
        <f>"5465"</f>
        <v>5465</v>
      </c>
      <c r="E191" t="s">
        <v>824</v>
      </c>
    </row>
    <row r="192" spans="1:5" x14ac:dyDescent="0.25">
      <c r="A192" t="str">
        <f t="shared" si="9"/>
        <v>37503</v>
      </c>
      <c r="B192" t="s">
        <v>1021</v>
      </c>
      <c r="C192" t="s">
        <v>1028</v>
      </c>
      <c r="D192" t="str">
        <f>"4459"</f>
        <v>4459</v>
      </c>
      <c r="E192" t="s">
        <v>818</v>
      </c>
    </row>
    <row r="193" spans="1:5" x14ac:dyDescent="0.25">
      <c r="A193" t="str">
        <f>"21234"</f>
        <v>21234</v>
      </c>
      <c r="B193" t="s">
        <v>1029</v>
      </c>
      <c r="C193" t="s">
        <v>1030</v>
      </c>
      <c r="D193" t="str">
        <f>"2516"</f>
        <v>2516</v>
      </c>
      <c r="E193" t="s">
        <v>821</v>
      </c>
    </row>
    <row r="194" spans="1:5" x14ac:dyDescent="0.25">
      <c r="A194" t="str">
        <f t="shared" ref="A194:A207" si="10">"18100"</f>
        <v>18100</v>
      </c>
      <c r="B194" t="s">
        <v>1031</v>
      </c>
      <c r="C194" t="s">
        <v>1032</v>
      </c>
      <c r="D194" t="str">
        <f>"3641"</f>
        <v>3641</v>
      </c>
      <c r="E194" t="s">
        <v>818</v>
      </c>
    </row>
    <row r="195" spans="1:5" x14ac:dyDescent="0.25">
      <c r="A195" t="str">
        <f t="shared" si="10"/>
        <v>18100</v>
      </c>
      <c r="B195" t="s">
        <v>1031</v>
      </c>
      <c r="C195" t="s">
        <v>1033</v>
      </c>
      <c r="D195" t="str">
        <f>"3109"</f>
        <v>3109</v>
      </c>
      <c r="E195" t="s">
        <v>824</v>
      </c>
    </row>
    <row r="196" spans="1:5" x14ac:dyDescent="0.25">
      <c r="A196" t="str">
        <f t="shared" si="10"/>
        <v>18100</v>
      </c>
      <c r="B196" t="s">
        <v>1031</v>
      </c>
      <c r="C196" t="s">
        <v>1034</v>
      </c>
      <c r="D196" t="str">
        <f>"1749"</f>
        <v>1749</v>
      </c>
      <c r="E196" t="s">
        <v>821</v>
      </c>
    </row>
    <row r="197" spans="1:5" x14ac:dyDescent="0.25">
      <c r="A197" t="str">
        <f t="shared" si="10"/>
        <v>18100</v>
      </c>
      <c r="B197" t="s">
        <v>1031</v>
      </c>
      <c r="C197" t="s">
        <v>1035</v>
      </c>
      <c r="D197" t="str">
        <f>"5395"</f>
        <v>5395</v>
      </c>
      <c r="E197" t="s">
        <v>824</v>
      </c>
    </row>
    <row r="198" spans="1:5" x14ac:dyDescent="0.25">
      <c r="A198" t="str">
        <f t="shared" si="10"/>
        <v>18100</v>
      </c>
      <c r="B198" t="s">
        <v>1031</v>
      </c>
      <c r="C198" t="s">
        <v>1036</v>
      </c>
      <c r="D198" t="str">
        <f>"3108"</f>
        <v>3108</v>
      </c>
      <c r="E198" t="s">
        <v>818</v>
      </c>
    </row>
    <row r="199" spans="1:5" x14ac:dyDescent="0.25">
      <c r="A199" t="str">
        <f t="shared" si="10"/>
        <v>18100</v>
      </c>
      <c r="B199" t="s">
        <v>1031</v>
      </c>
      <c r="C199" t="s">
        <v>1037</v>
      </c>
      <c r="D199" t="str">
        <f>"4421"</f>
        <v>4421</v>
      </c>
      <c r="E199" t="s">
        <v>818</v>
      </c>
    </row>
    <row r="200" spans="1:5" x14ac:dyDescent="0.25">
      <c r="A200" t="str">
        <f t="shared" si="10"/>
        <v>18100</v>
      </c>
      <c r="B200" t="s">
        <v>1031</v>
      </c>
      <c r="C200" t="s">
        <v>1038</v>
      </c>
      <c r="D200" t="str">
        <f>"3883"</f>
        <v>3883</v>
      </c>
      <c r="E200" t="s">
        <v>824</v>
      </c>
    </row>
    <row r="201" spans="1:5" x14ac:dyDescent="0.25">
      <c r="A201" t="str">
        <f t="shared" si="10"/>
        <v>18100</v>
      </c>
      <c r="B201" t="s">
        <v>1031</v>
      </c>
      <c r="C201" t="s">
        <v>1039</v>
      </c>
      <c r="D201" t="str">
        <f>"4441"</f>
        <v>4441</v>
      </c>
      <c r="E201" t="s">
        <v>830</v>
      </c>
    </row>
    <row r="202" spans="1:5" x14ac:dyDescent="0.25">
      <c r="A202" t="str">
        <f t="shared" si="10"/>
        <v>18100</v>
      </c>
      <c r="B202" t="s">
        <v>1031</v>
      </c>
      <c r="C202" t="s">
        <v>1040</v>
      </c>
      <c r="D202" t="str">
        <f>"3171"</f>
        <v>3171</v>
      </c>
      <c r="E202" t="s">
        <v>818</v>
      </c>
    </row>
    <row r="203" spans="1:5" x14ac:dyDescent="0.25">
      <c r="A203" t="str">
        <f t="shared" si="10"/>
        <v>18100</v>
      </c>
      <c r="B203" t="s">
        <v>1031</v>
      </c>
      <c r="C203" t="s">
        <v>1041</v>
      </c>
      <c r="D203" t="str">
        <f>"1737"</f>
        <v>1737</v>
      </c>
      <c r="E203" t="s">
        <v>824</v>
      </c>
    </row>
    <row r="204" spans="1:5" x14ac:dyDescent="0.25">
      <c r="A204" t="str">
        <f t="shared" si="10"/>
        <v>18100</v>
      </c>
      <c r="B204" t="s">
        <v>1031</v>
      </c>
      <c r="C204" t="s">
        <v>1042</v>
      </c>
      <c r="D204" t="str">
        <f>"5161"</f>
        <v>5161</v>
      </c>
      <c r="E204" t="s">
        <v>826</v>
      </c>
    </row>
    <row r="205" spans="1:5" x14ac:dyDescent="0.25">
      <c r="A205" t="str">
        <f t="shared" si="10"/>
        <v>18100</v>
      </c>
      <c r="B205" t="s">
        <v>1031</v>
      </c>
      <c r="C205" t="s">
        <v>1043</v>
      </c>
      <c r="D205" t="str">
        <f>"2853"</f>
        <v>2853</v>
      </c>
      <c r="E205" t="s">
        <v>818</v>
      </c>
    </row>
    <row r="206" spans="1:5" x14ac:dyDescent="0.25">
      <c r="A206" t="str">
        <f t="shared" si="10"/>
        <v>18100</v>
      </c>
      <c r="B206" t="s">
        <v>1031</v>
      </c>
      <c r="C206" t="s">
        <v>1044</v>
      </c>
      <c r="D206" t="str">
        <f>"2613"</f>
        <v>2613</v>
      </c>
      <c r="E206" t="s">
        <v>821</v>
      </c>
    </row>
    <row r="207" spans="1:5" x14ac:dyDescent="0.25">
      <c r="A207" t="str">
        <f t="shared" si="10"/>
        <v>18100</v>
      </c>
      <c r="B207" t="s">
        <v>1031</v>
      </c>
      <c r="C207" t="s">
        <v>1045</v>
      </c>
      <c r="D207" t="str">
        <f>"4038"</f>
        <v>4038</v>
      </c>
      <c r="E207" t="s">
        <v>824</v>
      </c>
    </row>
    <row r="208" spans="1:5" x14ac:dyDescent="0.25">
      <c r="A208" t="str">
        <f>"24111"</f>
        <v>24111</v>
      </c>
      <c r="B208" t="s">
        <v>1046</v>
      </c>
      <c r="C208" t="s">
        <v>1047</v>
      </c>
      <c r="D208" t="str">
        <f>"5272"</f>
        <v>5272</v>
      </c>
      <c r="E208" t="s">
        <v>824</v>
      </c>
    </row>
    <row r="209" spans="1:5" x14ac:dyDescent="0.25">
      <c r="A209" t="str">
        <f>"24111"</f>
        <v>24111</v>
      </c>
      <c r="B209" t="s">
        <v>1046</v>
      </c>
      <c r="C209" t="s">
        <v>1048</v>
      </c>
      <c r="D209" t="str">
        <f>"3293"</f>
        <v>3293</v>
      </c>
      <c r="E209" t="s">
        <v>818</v>
      </c>
    </row>
    <row r="210" spans="1:5" x14ac:dyDescent="0.25">
      <c r="A210" t="str">
        <f>"24111"</f>
        <v>24111</v>
      </c>
      <c r="B210" t="s">
        <v>1046</v>
      </c>
      <c r="C210" t="s">
        <v>1049</v>
      </c>
      <c r="D210" t="str">
        <f>"2800"</f>
        <v>2800</v>
      </c>
      <c r="E210" t="s">
        <v>824</v>
      </c>
    </row>
    <row r="211" spans="1:5" x14ac:dyDescent="0.25">
      <c r="A211" t="str">
        <f>"24111"</f>
        <v>24111</v>
      </c>
      <c r="B211" t="s">
        <v>1046</v>
      </c>
      <c r="C211" t="s">
        <v>1050</v>
      </c>
      <c r="D211" t="str">
        <f>"4223"</f>
        <v>4223</v>
      </c>
      <c r="E211" t="s">
        <v>830</v>
      </c>
    </row>
    <row r="212" spans="1:5" x14ac:dyDescent="0.25">
      <c r="A212" t="str">
        <f>"09075"</f>
        <v>09075</v>
      </c>
      <c r="B212" t="s">
        <v>1051</v>
      </c>
      <c r="C212" t="s">
        <v>1052</v>
      </c>
      <c r="D212" t="str">
        <f>"1900"</f>
        <v>1900</v>
      </c>
      <c r="E212" t="s">
        <v>824</v>
      </c>
    </row>
    <row r="213" spans="1:5" x14ac:dyDescent="0.25">
      <c r="A213" t="str">
        <f>"09075"</f>
        <v>09075</v>
      </c>
      <c r="B213" t="s">
        <v>1051</v>
      </c>
      <c r="C213" t="s">
        <v>1053</v>
      </c>
      <c r="D213" t="str">
        <f>"2562"</f>
        <v>2562</v>
      </c>
      <c r="E213" t="s">
        <v>818</v>
      </c>
    </row>
    <row r="214" spans="1:5" x14ac:dyDescent="0.25">
      <c r="A214" t="str">
        <f>"09075"</f>
        <v>09075</v>
      </c>
      <c r="B214" t="s">
        <v>1051</v>
      </c>
      <c r="C214" t="s">
        <v>1054</v>
      </c>
      <c r="D214" t="str">
        <f>"2788"</f>
        <v>2788</v>
      </c>
      <c r="E214" t="s">
        <v>824</v>
      </c>
    </row>
    <row r="215" spans="1:5" x14ac:dyDescent="0.25">
      <c r="A215" t="str">
        <f>"09075"</f>
        <v>09075</v>
      </c>
      <c r="B215" t="s">
        <v>1051</v>
      </c>
      <c r="C215" t="s">
        <v>1055</v>
      </c>
      <c r="D215" t="str">
        <f>"4213"</f>
        <v>4213</v>
      </c>
      <c r="E215" t="s">
        <v>830</v>
      </c>
    </row>
    <row r="216" spans="1:5" x14ac:dyDescent="0.25">
      <c r="A216" t="str">
        <f>"16046"</f>
        <v>16046</v>
      </c>
      <c r="B216" t="s">
        <v>1056</v>
      </c>
      <c r="C216" t="s">
        <v>1057</v>
      </c>
      <c r="D216" t="str">
        <f>"2836"</f>
        <v>2836</v>
      </c>
      <c r="E216" t="s">
        <v>821</v>
      </c>
    </row>
    <row r="217" spans="1:5" x14ac:dyDescent="0.25">
      <c r="A217" t="str">
        <f t="shared" ref="A217:A225" si="11">"29100"</f>
        <v>29100</v>
      </c>
      <c r="B217" t="s">
        <v>1058</v>
      </c>
      <c r="C217" t="s">
        <v>1059</v>
      </c>
      <c r="D217" t="str">
        <f>"3603"</f>
        <v>3603</v>
      </c>
      <c r="E217" t="s">
        <v>821</v>
      </c>
    </row>
    <row r="218" spans="1:5" x14ac:dyDescent="0.25">
      <c r="A218" t="str">
        <f t="shared" si="11"/>
        <v>29100</v>
      </c>
      <c r="B218" t="s">
        <v>1058</v>
      </c>
      <c r="C218" t="s">
        <v>1060</v>
      </c>
      <c r="D218" t="str">
        <f>"4412"</f>
        <v>4412</v>
      </c>
      <c r="E218" t="s">
        <v>821</v>
      </c>
    </row>
    <row r="219" spans="1:5" x14ac:dyDescent="0.25">
      <c r="A219" t="str">
        <f t="shared" si="11"/>
        <v>29100</v>
      </c>
      <c r="B219" t="s">
        <v>1058</v>
      </c>
      <c r="C219" t="s">
        <v>1061</v>
      </c>
      <c r="D219" t="str">
        <f>"1650"</f>
        <v>1650</v>
      </c>
      <c r="E219" t="s">
        <v>826</v>
      </c>
    </row>
    <row r="220" spans="1:5" x14ac:dyDescent="0.25">
      <c r="A220" t="str">
        <f t="shared" si="11"/>
        <v>29100</v>
      </c>
      <c r="B220" t="s">
        <v>1058</v>
      </c>
      <c r="C220" t="s">
        <v>1062</v>
      </c>
      <c r="D220" t="str">
        <f>"2362"</f>
        <v>2362</v>
      </c>
      <c r="E220" t="s">
        <v>824</v>
      </c>
    </row>
    <row r="221" spans="1:5" x14ac:dyDescent="0.25">
      <c r="A221" t="str">
        <f t="shared" si="11"/>
        <v>29100</v>
      </c>
      <c r="B221" t="s">
        <v>1058</v>
      </c>
      <c r="C221" t="s">
        <v>1063</v>
      </c>
      <c r="D221" t="str">
        <f>"1928"</f>
        <v>1928</v>
      </c>
      <c r="E221" t="s">
        <v>824</v>
      </c>
    </row>
    <row r="222" spans="1:5" x14ac:dyDescent="0.25">
      <c r="A222" t="str">
        <f t="shared" si="11"/>
        <v>29100</v>
      </c>
      <c r="B222" t="s">
        <v>1058</v>
      </c>
      <c r="C222" t="s">
        <v>1064</v>
      </c>
      <c r="D222" t="str">
        <f>"2379"</f>
        <v>2379</v>
      </c>
      <c r="E222" t="s">
        <v>821</v>
      </c>
    </row>
    <row r="223" spans="1:5" x14ac:dyDescent="0.25">
      <c r="A223" t="str">
        <f t="shared" si="11"/>
        <v>29100</v>
      </c>
      <c r="B223" t="s">
        <v>1058</v>
      </c>
      <c r="C223" t="s">
        <v>1065</v>
      </c>
      <c r="D223" t="str">
        <f>"3251"</f>
        <v>3251</v>
      </c>
      <c r="E223" t="s">
        <v>821</v>
      </c>
    </row>
    <row r="224" spans="1:5" x14ac:dyDescent="0.25">
      <c r="A224" t="str">
        <f t="shared" si="11"/>
        <v>29100</v>
      </c>
      <c r="B224" t="s">
        <v>1058</v>
      </c>
      <c r="C224" t="s">
        <v>1066</v>
      </c>
      <c r="D224" t="str">
        <f>"5525"</f>
        <v>5525</v>
      </c>
      <c r="E224" t="s">
        <v>824</v>
      </c>
    </row>
    <row r="225" spans="1:5" x14ac:dyDescent="0.25">
      <c r="A225" t="str">
        <f t="shared" si="11"/>
        <v>29100</v>
      </c>
      <c r="B225" t="s">
        <v>1058</v>
      </c>
      <c r="C225" t="s">
        <v>1067</v>
      </c>
      <c r="D225" t="str">
        <f>"2946"</f>
        <v>2946</v>
      </c>
      <c r="E225" t="s">
        <v>821</v>
      </c>
    </row>
    <row r="226" spans="1:5" x14ac:dyDescent="0.25">
      <c r="A226" t="str">
        <f t="shared" ref="A226:A239" si="12">"06117"</f>
        <v>06117</v>
      </c>
      <c r="B226" t="s">
        <v>1068</v>
      </c>
      <c r="C226" t="s">
        <v>1069</v>
      </c>
      <c r="D226" t="str">
        <f>"4567"</f>
        <v>4567</v>
      </c>
      <c r="E226" t="s">
        <v>824</v>
      </c>
    </row>
    <row r="227" spans="1:5" x14ac:dyDescent="0.25">
      <c r="A227" t="str">
        <f t="shared" si="12"/>
        <v>06117</v>
      </c>
      <c r="B227" t="s">
        <v>1068</v>
      </c>
      <c r="C227" t="s">
        <v>1070</v>
      </c>
      <c r="D227" t="str">
        <f>"5532"</f>
        <v>5532</v>
      </c>
      <c r="E227" t="s">
        <v>824</v>
      </c>
    </row>
    <row r="228" spans="1:5" x14ac:dyDescent="0.25">
      <c r="A228" t="str">
        <f t="shared" si="12"/>
        <v>06117</v>
      </c>
      <c r="B228" t="s">
        <v>1068</v>
      </c>
      <c r="C228" t="s">
        <v>1071</v>
      </c>
      <c r="D228" t="str">
        <f>"5533"</f>
        <v>5533</v>
      </c>
      <c r="E228" t="s">
        <v>824</v>
      </c>
    </row>
    <row r="229" spans="1:5" x14ac:dyDescent="0.25">
      <c r="A229" t="str">
        <f t="shared" si="12"/>
        <v>06117</v>
      </c>
      <c r="B229" t="s">
        <v>1068</v>
      </c>
      <c r="C229" t="s">
        <v>1072</v>
      </c>
      <c r="D229" t="str">
        <f>"4182"</f>
        <v>4182</v>
      </c>
      <c r="E229" t="s">
        <v>818</v>
      </c>
    </row>
    <row r="230" spans="1:5" x14ac:dyDescent="0.25">
      <c r="A230" t="str">
        <f t="shared" si="12"/>
        <v>06117</v>
      </c>
      <c r="B230" t="s">
        <v>1068</v>
      </c>
      <c r="C230" t="s">
        <v>1073</v>
      </c>
      <c r="D230" t="str">
        <f>"5158"</f>
        <v>5158</v>
      </c>
      <c r="E230" t="s">
        <v>818</v>
      </c>
    </row>
    <row r="231" spans="1:5" x14ac:dyDescent="0.25">
      <c r="A231" t="str">
        <f t="shared" si="12"/>
        <v>06117</v>
      </c>
      <c r="B231" t="s">
        <v>1068</v>
      </c>
      <c r="C231" t="s">
        <v>1074</v>
      </c>
      <c r="D231" t="str">
        <f>"5104"</f>
        <v>5104</v>
      </c>
      <c r="E231" t="s">
        <v>824</v>
      </c>
    </row>
    <row r="232" spans="1:5" x14ac:dyDescent="0.25">
      <c r="A232" t="str">
        <f t="shared" si="12"/>
        <v>06117</v>
      </c>
      <c r="B232" t="s">
        <v>1068</v>
      </c>
      <c r="C232" t="s">
        <v>1075</v>
      </c>
      <c r="D232" t="str">
        <f>"2725"</f>
        <v>2725</v>
      </c>
      <c r="E232" t="s">
        <v>818</v>
      </c>
    </row>
    <row r="233" spans="1:5" x14ac:dyDescent="0.25">
      <c r="A233" t="str">
        <f t="shared" si="12"/>
        <v>06117</v>
      </c>
      <c r="B233" t="s">
        <v>1068</v>
      </c>
      <c r="C233" t="s">
        <v>1076</v>
      </c>
      <c r="D233" t="str">
        <f>"3474"</f>
        <v>3474</v>
      </c>
      <c r="E233" t="s">
        <v>818</v>
      </c>
    </row>
    <row r="234" spans="1:5" x14ac:dyDescent="0.25">
      <c r="A234" t="str">
        <f t="shared" si="12"/>
        <v>06117</v>
      </c>
      <c r="B234" t="s">
        <v>1068</v>
      </c>
      <c r="C234" t="s">
        <v>1005</v>
      </c>
      <c r="D234" t="str">
        <f>"5054"</f>
        <v>5054</v>
      </c>
      <c r="E234" t="s">
        <v>830</v>
      </c>
    </row>
    <row r="235" spans="1:5" x14ac:dyDescent="0.25">
      <c r="A235" t="str">
        <f t="shared" si="12"/>
        <v>06117</v>
      </c>
      <c r="B235" t="s">
        <v>1068</v>
      </c>
      <c r="C235" t="s">
        <v>1077</v>
      </c>
      <c r="D235" t="str">
        <f>"5534"</f>
        <v>5534</v>
      </c>
      <c r="E235" t="s">
        <v>830</v>
      </c>
    </row>
    <row r="236" spans="1:5" x14ac:dyDescent="0.25">
      <c r="A236" t="str">
        <f t="shared" si="12"/>
        <v>06117</v>
      </c>
      <c r="B236" t="s">
        <v>1068</v>
      </c>
      <c r="C236" t="s">
        <v>1078</v>
      </c>
      <c r="D236" t="str">
        <f>"5055"</f>
        <v>5055</v>
      </c>
      <c r="E236" t="s">
        <v>826</v>
      </c>
    </row>
    <row r="237" spans="1:5" x14ac:dyDescent="0.25">
      <c r="A237" t="str">
        <f t="shared" si="12"/>
        <v>06117</v>
      </c>
      <c r="B237" t="s">
        <v>1068</v>
      </c>
      <c r="C237" t="s">
        <v>1079</v>
      </c>
      <c r="D237" t="str">
        <f>"4563"</f>
        <v>4563</v>
      </c>
      <c r="E237" t="s">
        <v>818</v>
      </c>
    </row>
    <row r="238" spans="1:5" x14ac:dyDescent="0.25">
      <c r="A238" t="str">
        <f t="shared" si="12"/>
        <v>06117</v>
      </c>
      <c r="B238" t="s">
        <v>1068</v>
      </c>
      <c r="C238" t="s">
        <v>1080</v>
      </c>
      <c r="D238" t="str">
        <f>"4508"</f>
        <v>4508</v>
      </c>
      <c r="E238" t="s">
        <v>830</v>
      </c>
    </row>
    <row r="239" spans="1:5" x14ac:dyDescent="0.25">
      <c r="A239" t="str">
        <f t="shared" si="12"/>
        <v>06117</v>
      </c>
      <c r="B239" t="s">
        <v>1068</v>
      </c>
      <c r="C239" t="s">
        <v>1081</v>
      </c>
      <c r="D239" t="str">
        <f>"5309"</f>
        <v>5309</v>
      </c>
      <c r="E239" t="s">
        <v>818</v>
      </c>
    </row>
    <row r="240" spans="1:5" x14ac:dyDescent="0.25">
      <c r="A240" t="str">
        <f>"05401"</f>
        <v>05401</v>
      </c>
      <c r="B240" t="s">
        <v>1082</v>
      </c>
      <c r="C240" t="s">
        <v>1083</v>
      </c>
      <c r="D240" t="str">
        <f>"1787"</f>
        <v>1787</v>
      </c>
      <c r="E240" t="s">
        <v>826</v>
      </c>
    </row>
    <row r="241" spans="1:5" x14ac:dyDescent="0.25">
      <c r="A241" t="str">
        <f>"05401"</f>
        <v>05401</v>
      </c>
      <c r="B241" t="s">
        <v>1082</v>
      </c>
      <c r="C241" t="s">
        <v>1084</v>
      </c>
      <c r="D241" t="str">
        <f>"3422"</f>
        <v>3422</v>
      </c>
      <c r="E241" t="s">
        <v>859</v>
      </c>
    </row>
    <row r="242" spans="1:5" x14ac:dyDescent="0.25">
      <c r="A242" t="str">
        <f>"05401"</f>
        <v>05401</v>
      </c>
      <c r="B242" t="s">
        <v>1082</v>
      </c>
      <c r="C242" t="s">
        <v>1085</v>
      </c>
      <c r="D242" t="str">
        <f>"2594"</f>
        <v>2594</v>
      </c>
      <c r="E242" t="s">
        <v>818</v>
      </c>
    </row>
    <row r="243" spans="1:5" x14ac:dyDescent="0.25">
      <c r="A243" t="str">
        <f>"05401"</f>
        <v>05401</v>
      </c>
      <c r="B243" t="s">
        <v>1082</v>
      </c>
      <c r="C243" t="s">
        <v>1086</v>
      </c>
      <c r="D243" t="str">
        <f>"3145"</f>
        <v>3145</v>
      </c>
      <c r="E243" t="s">
        <v>821</v>
      </c>
    </row>
    <row r="244" spans="1:5" x14ac:dyDescent="0.25">
      <c r="A244" t="str">
        <f>"34801"</f>
        <v>34801</v>
      </c>
      <c r="B244" t="s">
        <v>1087</v>
      </c>
      <c r="C244" t="s">
        <v>1088</v>
      </c>
      <c r="D244" t="str">
        <f>"5305"</f>
        <v>5305</v>
      </c>
      <c r="E244" t="s">
        <v>824</v>
      </c>
    </row>
    <row r="245" spans="1:5" x14ac:dyDescent="0.25">
      <c r="A245" t="str">
        <f>"27019"</f>
        <v>27019</v>
      </c>
      <c r="B245" t="s">
        <v>1089</v>
      </c>
      <c r="C245" t="s">
        <v>1090</v>
      </c>
      <c r="D245" t="str">
        <f>"2466"</f>
        <v>2466</v>
      </c>
      <c r="E245" t="s">
        <v>821</v>
      </c>
    </row>
    <row r="246" spans="1:5" x14ac:dyDescent="0.25">
      <c r="A246" t="str">
        <f t="shared" ref="A246:A251" si="13">"04228"</f>
        <v>04228</v>
      </c>
      <c r="B246" t="s">
        <v>1091</v>
      </c>
      <c r="C246" t="s">
        <v>1092</v>
      </c>
      <c r="D246" t="str">
        <f>"2827"</f>
        <v>2827</v>
      </c>
      <c r="E246" t="s">
        <v>818</v>
      </c>
    </row>
    <row r="247" spans="1:5" x14ac:dyDescent="0.25">
      <c r="A247" t="str">
        <f t="shared" si="13"/>
        <v>04228</v>
      </c>
      <c r="B247" t="s">
        <v>1091</v>
      </c>
      <c r="C247" t="s">
        <v>1093</v>
      </c>
      <c r="D247" t="str">
        <f>"4566"</f>
        <v>4566</v>
      </c>
      <c r="E247" t="s">
        <v>818</v>
      </c>
    </row>
    <row r="248" spans="1:5" x14ac:dyDescent="0.25">
      <c r="A248" t="str">
        <f t="shared" si="13"/>
        <v>04228</v>
      </c>
      <c r="B248" t="s">
        <v>1091</v>
      </c>
      <c r="C248" t="s">
        <v>1094</v>
      </c>
      <c r="D248" t="str">
        <f>"3564"</f>
        <v>3564</v>
      </c>
      <c r="E248" t="s">
        <v>824</v>
      </c>
    </row>
    <row r="249" spans="1:5" x14ac:dyDescent="0.25">
      <c r="A249" t="str">
        <f t="shared" si="13"/>
        <v>04228</v>
      </c>
      <c r="B249" t="s">
        <v>1091</v>
      </c>
      <c r="C249" t="s">
        <v>1095</v>
      </c>
      <c r="D249" t="str">
        <f>"5418"</f>
        <v>5418</v>
      </c>
      <c r="E249" t="s">
        <v>821</v>
      </c>
    </row>
    <row r="250" spans="1:5" x14ac:dyDescent="0.25">
      <c r="A250" t="str">
        <f t="shared" si="13"/>
        <v>04228</v>
      </c>
      <c r="B250" t="s">
        <v>1091</v>
      </c>
      <c r="C250" t="s">
        <v>1096</v>
      </c>
      <c r="D250" t="str">
        <f>"4403"</f>
        <v>4403</v>
      </c>
      <c r="E250" t="s">
        <v>830</v>
      </c>
    </row>
    <row r="251" spans="1:5" x14ac:dyDescent="0.25">
      <c r="A251" t="str">
        <f t="shared" si="13"/>
        <v>04228</v>
      </c>
      <c r="B251" t="s">
        <v>1091</v>
      </c>
      <c r="C251" t="s">
        <v>1097</v>
      </c>
      <c r="D251" t="str">
        <f>"2760"</f>
        <v>2760</v>
      </c>
      <c r="E251" t="s">
        <v>818</v>
      </c>
    </row>
    <row r="252" spans="1:5" x14ac:dyDescent="0.25">
      <c r="A252" t="str">
        <f>"04222"</f>
        <v>04222</v>
      </c>
      <c r="B252" t="s">
        <v>1098</v>
      </c>
      <c r="C252" t="s">
        <v>1099</v>
      </c>
      <c r="D252" t="str">
        <f>"3268"</f>
        <v>3268</v>
      </c>
      <c r="E252" t="s">
        <v>824</v>
      </c>
    </row>
    <row r="253" spans="1:5" x14ac:dyDescent="0.25">
      <c r="A253" t="str">
        <f>"04222"</f>
        <v>04222</v>
      </c>
      <c r="B253" t="s">
        <v>1098</v>
      </c>
      <c r="C253" t="s">
        <v>1100</v>
      </c>
      <c r="D253" t="str">
        <f>"2315"</f>
        <v>2315</v>
      </c>
      <c r="E253" t="s">
        <v>830</v>
      </c>
    </row>
    <row r="254" spans="1:5" x14ac:dyDescent="0.25">
      <c r="A254" t="str">
        <f>"04222"</f>
        <v>04222</v>
      </c>
      <c r="B254" t="s">
        <v>1098</v>
      </c>
      <c r="C254" t="s">
        <v>1101</v>
      </c>
      <c r="D254" t="str">
        <f>"2787"</f>
        <v>2787</v>
      </c>
      <c r="E254" t="s">
        <v>818</v>
      </c>
    </row>
    <row r="255" spans="1:5" x14ac:dyDescent="0.25">
      <c r="A255" t="str">
        <f>"08401"</f>
        <v>08401</v>
      </c>
      <c r="B255" t="s">
        <v>1102</v>
      </c>
      <c r="C255" t="s">
        <v>1103</v>
      </c>
      <c r="D255" t="str">
        <f>"2762"</f>
        <v>2762</v>
      </c>
      <c r="E255" t="s">
        <v>818</v>
      </c>
    </row>
    <row r="256" spans="1:5" x14ac:dyDescent="0.25">
      <c r="A256" t="str">
        <f>"08401"</f>
        <v>08401</v>
      </c>
      <c r="B256" t="s">
        <v>1102</v>
      </c>
      <c r="C256" t="s">
        <v>1104</v>
      </c>
      <c r="D256" t="str">
        <f>"2281"</f>
        <v>2281</v>
      </c>
      <c r="E256" t="s">
        <v>824</v>
      </c>
    </row>
    <row r="257" spans="1:5" x14ac:dyDescent="0.25">
      <c r="A257" t="str">
        <f>"08401"</f>
        <v>08401</v>
      </c>
      <c r="B257" t="s">
        <v>1102</v>
      </c>
      <c r="C257" t="s">
        <v>1105</v>
      </c>
      <c r="D257" t="str">
        <f>"3969"</f>
        <v>3969</v>
      </c>
      <c r="E257" t="s">
        <v>830</v>
      </c>
    </row>
    <row r="258" spans="1:5" x14ac:dyDescent="0.25">
      <c r="A258" t="str">
        <f>"20215"</f>
        <v>20215</v>
      </c>
      <c r="B258" t="s">
        <v>1106</v>
      </c>
      <c r="C258" t="s">
        <v>1107</v>
      </c>
      <c r="D258" t="str">
        <f>"2251"</f>
        <v>2251</v>
      </c>
      <c r="E258" t="s">
        <v>821</v>
      </c>
    </row>
    <row r="259" spans="1:5" x14ac:dyDescent="0.25">
      <c r="A259" t="str">
        <f t="shared" ref="A259:A277" si="14">"18401"</f>
        <v>18401</v>
      </c>
      <c r="B259" t="s">
        <v>1108</v>
      </c>
      <c r="C259" t="s">
        <v>1109</v>
      </c>
      <c r="D259" t="str">
        <f>"5472"</f>
        <v>5472</v>
      </c>
      <c r="E259" t="s">
        <v>859</v>
      </c>
    </row>
    <row r="260" spans="1:5" x14ac:dyDescent="0.25">
      <c r="A260" t="str">
        <f t="shared" si="14"/>
        <v>18401</v>
      </c>
      <c r="B260" t="s">
        <v>1108</v>
      </c>
      <c r="C260" t="s">
        <v>1110</v>
      </c>
      <c r="D260" t="str">
        <f>"2994"</f>
        <v>2994</v>
      </c>
      <c r="E260" t="s">
        <v>818</v>
      </c>
    </row>
    <row r="261" spans="1:5" x14ac:dyDescent="0.25">
      <c r="A261" t="str">
        <f t="shared" si="14"/>
        <v>18401</v>
      </c>
      <c r="B261" t="s">
        <v>1108</v>
      </c>
      <c r="C261" t="s">
        <v>1111</v>
      </c>
      <c r="D261" t="str">
        <f>"2615"</f>
        <v>2615</v>
      </c>
      <c r="E261" t="s">
        <v>824</v>
      </c>
    </row>
    <row r="262" spans="1:5" x14ac:dyDescent="0.25">
      <c r="A262" t="str">
        <f t="shared" si="14"/>
        <v>18401</v>
      </c>
      <c r="B262" t="s">
        <v>1108</v>
      </c>
      <c r="C262" t="s">
        <v>1112</v>
      </c>
      <c r="D262" t="str">
        <f>"3237"</f>
        <v>3237</v>
      </c>
      <c r="E262" t="s">
        <v>830</v>
      </c>
    </row>
    <row r="263" spans="1:5" x14ac:dyDescent="0.25">
      <c r="A263" t="str">
        <f t="shared" si="14"/>
        <v>18401</v>
      </c>
      <c r="B263" t="s">
        <v>1108</v>
      </c>
      <c r="C263" t="s">
        <v>1113</v>
      </c>
      <c r="D263" t="str">
        <f>"4016"</f>
        <v>4016</v>
      </c>
      <c r="E263" t="s">
        <v>818</v>
      </c>
    </row>
    <row r="264" spans="1:5" x14ac:dyDescent="0.25">
      <c r="A264" t="str">
        <f t="shared" si="14"/>
        <v>18401</v>
      </c>
      <c r="B264" t="s">
        <v>1108</v>
      </c>
      <c r="C264" t="s">
        <v>1114</v>
      </c>
      <c r="D264" t="str">
        <f>"4014"</f>
        <v>4014</v>
      </c>
      <c r="E264" t="s">
        <v>818</v>
      </c>
    </row>
    <row r="265" spans="1:5" x14ac:dyDescent="0.25">
      <c r="A265" t="str">
        <f t="shared" si="14"/>
        <v>18401</v>
      </c>
      <c r="B265" t="s">
        <v>1108</v>
      </c>
      <c r="C265" t="s">
        <v>1115</v>
      </c>
      <c r="D265" t="str">
        <f>"4341"</f>
        <v>4341</v>
      </c>
      <c r="E265" t="s">
        <v>818</v>
      </c>
    </row>
    <row r="266" spans="1:5" x14ac:dyDescent="0.25">
      <c r="A266" t="str">
        <f t="shared" si="14"/>
        <v>18401</v>
      </c>
      <c r="B266" t="s">
        <v>1108</v>
      </c>
      <c r="C266" t="s">
        <v>1116</v>
      </c>
      <c r="D266" t="str">
        <f>"4444"</f>
        <v>4444</v>
      </c>
      <c r="E266" t="s">
        <v>818</v>
      </c>
    </row>
    <row r="267" spans="1:5" x14ac:dyDescent="0.25">
      <c r="A267" t="str">
        <f t="shared" si="14"/>
        <v>18401</v>
      </c>
      <c r="B267" t="s">
        <v>1108</v>
      </c>
      <c r="C267" t="s">
        <v>1117</v>
      </c>
      <c r="D267" t="str">
        <f>"4015"</f>
        <v>4015</v>
      </c>
      <c r="E267" t="s">
        <v>818</v>
      </c>
    </row>
    <row r="268" spans="1:5" x14ac:dyDescent="0.25">
      <c r="A268" t="str">
        <f t="shared" si="14"/>
        <v>18401</v>
      </c>
      <c r="B268" t="s">
        <v>1108</v>
      </c>
      <c r="C268" t="s">
        <v>1118</v>
      </c>
      <c r="D268" t="str">
        <f>"3791"</f>
        <v>3791</v>
      </c>
      <c r="E268" t="s">
        <v>830</v>
      </c>
    </row>
    <row r="269" spans="1:5" x14ac:dyDescent="0.25">
      <c r="A269" t="str">
        <f t="shared" si="14"/>
        <v>18401</v>
      </c>
      <c r="B269" t="s">
        <v>1108</v>
      </c>
      <c r="C269" t="s">
        <v>1119</v>
      </c>
      <c r="D269" t="str">
        <f>"4393"</f>
        <v>4393</v>
      </c>
      <c r="E269" t="s">
        <v>818</v>
      </c>
    </row>
    <row r="270" spans="1:5" x14ac:dyDescent="0.25">
      <c r="A270" t="str">
        <f t="shared" si="14"/>
        <v>18401</v>
      </c>
      <c r="B270" t="s">
        <v>1108</v>
      </c>
      <c r="C270" t="s">
        <v>1120</v>
      </c>
      <c r="D270" t="str">
        <f>"3594"</f>
        <v>3594</v>
      </c>
      <c r="E270" t="s">
        <v>818</v>
      </c>
    </row>
    <row r="271" spans="1:5" x14ac:dyDescent="0.25">
      <c r="A271" t="str">
        <f t="shared" si="14"/>
        <v>18401</v>
      </c>
      <c r="B271" t="s">
        <v>1108</v>
      </c>
      <c r="C271" t="s">
        <v>1121</v>
      </c>
      <c r="D271" t="str">
        <f>"4509"</f>
        <v>4509</v>
      </c>
      <c r="E271" t="s">
        <v>821</v>
      </c>
    </row>
    <row r="272" spans="1:5" x14ac:dyDescent="0.25">
      <c r="A272" t="str">
        <f t="shared" si="14"/>
        <v>18401</v>
      </c>
      <c r="B272" t="s">
        <v>1108</v>
      </c>
      <c r="C272" t="s">
        <v>1122</v>
      </c>
      <c r="D272" t="str">
        <f>"4100"</f>
        <v>4100</v>
      </c>
      <c r="E272" t="s">
        <v>824</v>
      </c>
    </row>
    <row r="273" spans="1:5" x14ac:dyDescent="0.25">
      <c r="A273" t="str">
        <f t="shared" si="14"/>
        <v>18401</v>
      </c>
      <c r="B273" t="s">
        <v>1108</v>
      </c>
      <c r="C273" t="s">
        <v>1123</v>
      </c>
      <c r="D273" t="str">
        <f>"4527"</f>
        <v>4527</v>
      </c>
      <c r="E273" t="s">
        <v>818</v>
      </c>
    </row>
    <row r="274" spans="1:5" x14ac:dyDescent="0.25">
      <c r="A274" t="str">
        <f t="shared" si="14"/>
        <v>18401</v>
      </c>
      <c r="B274" t="s">
        <v>1108</v>
      </c>
      <c r="C274" t="s">
        <v>1124</v>
      </c>
      <c r="D274" t="str">
        <f>"4249"</f>
        <v>4249</v>
      </c>
      <c r="E274" t="s">
        <v>830</v>
      </c>
    </row>
    <row r="275" spans="1:5" x14ac:dyDescent="0.25">
      <c r="A275" t="str">
        <f t="shared" si="14"/>
        <v>18401</v>
      </c>
      <c r="B275" t="s">
        <v>1108</v>
      </c>
      <c r="C275" t="s">
        <v>1125</v>
      </c>
      <c r="D275" t="str">
        <f>"4372"</f>
        <v>4372</v>
      </c>
      <c r="E275" t="s">
        <v>818</v>
      </c>
    </row>
    <row r="276" spans="1:5" x14ac:dyDescent="0.25">
      <c r="A276" t="str">
        <f t="shared" si="14"/>
        <v>18401</v>
      </c>
      <c r="B276" t="s">
        <v>1108</v>
      </c>
      <c r="C276" t="s">
        <v>1126</v>
      </c>
      <c r="D276" t="str">
        <f>"4101"</f>
        <v>4101</v>
      </c>
      <c r="E276" t="s">
        <v>818</v>
      </c>
    </row>
    <row r="277" spans="1:5" x14ac:dyDescent="0.25">
      <c r="A277" t="str">
        <f t="shared" si="14"/>
        <v>18401</v>
      </c>
      <c r="B277" t="s">
        <v>1108</v>
      </c>
      <c r="C277" t="s">
        <v>1127</v>
      </c>
      <c r="D277" t="str">
        <f>"4135"</f>
        <v>4135</v>
      </c>
      <c r="E277" t="s">
        <v>818</v>
      </c>
    </row>
    <row r="278" spans="1:5" x14ac:dyDescent="0.25">
      <c r="A278" t="str">
        <f t="shared" ref="A278:A307" si="15">"32356"</f>
        <v>32356</v>
      </c>
      <c r="B278" t="s">
        <v>1128</v>
      </c>
      <c r="C278" t="s">
        <v>1129</v>
      </c>
      <c r="D278" t="str">
        <f>"3259"</f>
        <v>3259</v>
      </c>
      <c r="E278" t="s">
        <v>818</v>
      </c>
    </row>
    <row r="279" spans="1:5" x14ac:dyDescent="0.25">
      <c r="A279" t="str">
        <f t="shared" si="15"/>
        <v>32356</v>
      </c>
      <c r="B279" t="s">
        <v>1128</v>
      </c>
      <c r="C279" t="s">
        <v>1130</v>
      </c>
      <c r="D279" t="str">
        <f>"3260"</f>
        <v>3260</v>
      </c>
      <c r="E279" t="s">
        <v>830</v>
      </c>
    </row>
    <row r="280" spans="1:5" x14ac:dyDescent="0.25">
      <c r="A280" t="str">
        <f t="shared" si="15"/>
        <v>32356</v>
      </c>
      <c r="B280" t="s">
        <v>1128</v>
      </c>
      <c r="C280" t="s">
        <v>1131</v>
      </c>
      <c r="D280" t="str">
        <f>"2892"</f>
        <v>2892</v>
      </c>
      <c r="E280" t="s">
        <v>818</v>
      </c>
    </row>
    <row r="281" spans="1:5" x14ac:dyDescent="0.25">
      <c r="A281" t="str">
        <f t="shared" si="15"/>
        <v>32356</v>
      </c>
      <c r="B281" t="s">
        <v>1128</v>
      </c>
      <c r="C281" t="s">
        <v>1132</v>
      </c>
      <c r="D281" t="str">
        <f>"5043"</f>
        <v>5043</v>
      </c>
      <c r="E281" t="s">
        <v>826</v>
      </c>
    </row>
    <row r="282" spans="1:5" x14ac:dyDescent="0.25">
      <c r="A282" t="str">
        <f t="shared" si="15"/>
        <v>32356</v>
      </c>
      <c r="B282" t="s">
        <v>1128</v>
      </c>
      <c r="C282" t="s">
        <v>1133</v>
      </c>
      <c r="D282" t="str">
        <f>"3065"</f>
        <v>3065</v>
      </c>
      <c r="E282" t="s">
        <v>824</v>
      </c>
    </row>
    <row r="283" spans="1:5" x14ac:dyDescent="0.25">
      <c r="A283" t="str">
        <f t="shared" si="15"/>
        <v>32356</v>
      </c>
      <c r="B283" t="s">
        <v>1128</v>
      </c>
      <c r="C283" t="s">
        <v>1134</v>
      </c>
      <c r="D283" t="str">
        <f>"3929"</f>
        <v>3929</v>
      </c>
      <c r="E283" t="s">
        <v>818</v>
      </c>
    </row>
    <row r="284" spans="1:5" x14ac:dyDescent="0.25">
      <c r="A284" t="str">
        <f t="shared" si="15"/>
        <v>32356</v>
      </c>
      <c r="B284" t="s">
        <v>1128</v>
      </c>
      <c r="C284" t="s">
        <v>1135</v>
      </c>
      <c r="D284" t="str">
        <f>"5328"</f>
        <v>5328</v>
      </c>
      <c r="E284" t="s">
        <v>824</v>
      </c>
    </row>
    <row r="285" spans="1:5" x14ac:dyDescent="0.25">
      <c r="A285" t="str">
        <f t="shared" si="15"/>
        <v>32356</v>
      </c>
      <c r="B285" t="s">
        <v>1128</v>
      </c>
      <c r="C285" t="s">
        <v>1136</v>
      </c>
      <c r="D285" t="str">
        <f>"3890"</f>
        <v>3890</v>
      </c>
      <c r="E285" t="s">
        <v>830</v>
      </c>
    </row>
    <row r="286" spans="1:5" x14ac:dyDescent="0.25">
      <c r="A286" t="str">
        <f t="shared" si="15"/>
        <v>32356</v>
      </c>
      <c r="B286" t="s">
        <v>1128</v>
      </c>
      <c r="C286" t="s">
        <v>1137</v>
      </c>
      <c r="D286" t="str">
        <f>"2157"</f>
        <v>2157</v>
      </c>
      <c r="E286" t="s">
        <v>818</v>
      </c>
    </row>
    <row r="287" spans="1:5" x14ac:dyDescent="0.25">
      <c r="A287" t="str">
        <f t="shared" si="15"/>
        <v>32356</v>
      </c>
      <c r="B287" t="s">
        <v>1128</v>
      </c>
      <c r="C287" t="s">
        <v>1138</v>
      </c>
      <c r="D287" t="str">
        <f>"3573"</f>
        <v>3573</v>
      </c>
      <c r="E287" t="s">
        <v>830</v>
      </c>
    </row>
    <row r="288" spans="1:5" x14ac:dyDescent="0.25">
      <c r="A288" t="str">
        <f t="shared" si="15"/>
        <v>32356</v>
      </c>
      <c r="B288" t="s">
        <v>1128</v>
      </c>
      <c r="C288" t="s">
        <v>1139</v>
      </c>
      <c r="D288" t="str">
        <f>"4185"</f>
        <v>4185</v>
      </c>
      <c r="E288" t="s">
        <v>830</v>
      </c>
    </row>
    <row r="289" spans="1:5" x14ac:dyDescent="0.25">
      <c r="A289" t="str">
        <f t="shared" si="15"/>
        <v>32356</v>
      </c>
      <c r="B289" t="s">
        <v>1128</v>
      </c>
      <c r="C289" t="s">
        <v>1140</v>
      </c>
      <c r="D289" t="str">
        <f>"5166"</f>
        <v>5166</v>
      </c>
      <c r="E289" t="s">
        <v>824</v>
      </c>
    </row>
    <row r="290" spans="1:5" x14ac:dyDescent="0.25">
      <c r="A290" t="str">
        <f t="shared" si="15"/>
        <v>32356</v>
      </c>
      <c r="B290" t="s">
        <v>1128</v>
      </c>
      <c r="C290" t="s">
        <v>1141</v>
      </c>
      <c r="D290" t="str">
        <f>"5507"</f>
        <v>5507</v>
      </c>
      <c r="E290" t="s">
        <v>818</v>
      </c>
    </row>
    <row r="291" spans="1:5" x14ac:dyDescent="0.25">
      <c r="A291" t="str">
        <f t="shared" si="15"/>
        <v>32356</v>
      </c>
      <c r="B291" t="s">
        <v>1128</v>
      </c>
      <c r="C291" t="s">
        <v>1142</v>
      </c>
      <c r="D291" t="str">
        <f>"4529"</f>
        <v>4529</v>
      </c>
      <c r="E291" t="s">
        <v>818</v>
      </c>
    </row>
    <row r="292" spans="1:5" x14ac:dyDescent="0.25">
      <c r="A292" t="str">
        <f t="shared" si="15"/>
        <v>32356</v>
      </c>
      <c r="B292" t="s">
        <v>1128</v>
      </c>
      <c r="C292" t="s">
        <v>1143</v>
      </c>
      <c r="D292" t="str">
        <f>"3127"</f>
        <v>3127</v>
      </c>
      <c r="E292" t="s">
        <v>818</v>
      </c>
    </row>
    <row r="293" spans="1:5" x14ac:dyDescent="0.25">
      <c r="A293" t="str">
        <f t="shared" si="15"/>
        <v>32356</v>
      </c>
      <c r="B293" t="s">
        <v>1128</v>
      </c>
      <c r="C293" t="s">
        <v>1144</v>
      </c>
      <c r="D293" t="str">
        <f>"3918"</f>
        <v>3918</v>
      </c>
      <c r="E293" t="s">
        <v>824</v>
      </c>
    </row>
    <row r="294" spans="1:5" x14ac:dyDescent="0.25">
      <c r="A294" t="str">
        <f t="shared" si="15"/>
        <v>32356</v>
      </c>
      <c r="B294" t="s">
        <v>1128</v>
      </c>
      <c r="C294" t="s">
        <v>1145</v>
      </c>
      <c r="D294" t="str">
        <f>"2776"</f>
        <v>2776</v>
      </c>
      <c r="E294" t="s">
        <v>830</v>
      </c>
    </row>
    <row r="295" spans="1:5" x14ac:dyDescent="0.25">
      <c r="A295" t="str">
        <f t="shared" si="15"/>
        <v>32356</v>
      </c>
      <c r="B295" t="s">
        <v>1128</v>
      </c>
      <c r="C295" t="s">
        <v>1146</v>
      </c>
      <c r="D295" t="str">
        <f>"2113"</f>
        <v>2113</v>
      </c>
      <c r="E295" t="s">
        <v>818</v>
      </c>
    </row>
    <row r="296" spans="1:5" x14ac:dyDescent="0.25">
      <c r="A296" t="str">
        <f t="shared" si="15"/>
        <v>32356</v>
      </c>
      <c r="B296" t="s">
        <v>1128</v>
      </c>
      <c r="C296" t="s">
        <v>1147</v>
      </c>
      <c r="D296" t="str">
        <f>"4098"</f>
        <v>4098</v>
      </c>
      <c r="E296" t="s">
        <v>818</v>
      </c>
    </row>
    <row r="297" spans="1:5" x14ac:dyDescent="0.25">
      <c r="A297" t="str">
        <f t="shared" si="15"/>
        <v>32356</v>
      </c>
      <c r="B297" t="s">
        <v>1128</v>
      </c>
      <c r="C297" t="s">
        <v>1148</v>
      </c>
      <c r="D297" t="str">
        <f>"2953"</f>
        <v>2953</v>
      </c>
      <c r="E297" t="s">
        <v>818</v>
      </c>
    </row>
    <row r="298" spans="1:5" x14ac:dyDescent="0.25">
      <c r="A298" t="str">
        <f t="shared" si="15"/>
        <v>32356</v>
      </c>
      <c r="B298" t="s">
        <v>1128</v>
      </c>
      <c r="C298" t="s">
        <v>1149</v>
      </c>
      <c r="D298" t="str">
        <f>"5541"</f>
        <v>5541</v>
      </c>
      <c r="E298" t="s">
        <v>818</v>
      </c>
    </row>
    <row r="299" spans="1:5" x14ac:dyDescent="0.25">
      <c r="A299" t="str">
        <f t="shared" si="15"/>
        <v>32356</v>
      </c>
      <c r="B299" t="s">
        <v>1128</v>
      </c>
      <c r="C299" t="s">
        <v>1150</v>
      </c>
      <c r="D299" t="str">
        <f>"5003"</f>
        <v>5003</v>
      </c>
      <c r="E299" t="s">
        <v>824</v>
      </c>
    </row>
    <row r="300" spans="1:5" x14ac:dyDescent="0.25">
      <c r="A300" t="str">
        <f t="shared" si="15"/>
        <v>32356</v>
      </c>
      <c r="B300" t="s">
        <v>1128</v>
      </c>
      <c r="C300" t="s">
        <v>1151</v>
      </c>
      <c r="D300" t="str">
        <f>"3307"</f>
        <v>3307</v>
      </c>
      <c r="E300" t="s">
        <v>818</v>
      </c>
    </row>
    <row r="301" spans="1:5" x14ac:dyDescent="0.25">
      <c r="A301" t="str">
        <f t="shared" si="15"/>
        <v>32356</v>
      </c>
      <c r="B301" t="s">
        <v>1128</v>
      </c>
      <c r="C301" t="s">
        <v>1152</v>
      </c>
      <c r="D301" t="str">
        <f>"1964"</f>
        <v>1964</v>
      </c>
      <c r="E301" t="s">
        <v>859</v>
      </c>
    </row>
    <row r="302" spans="1:5" x14ac:dyDescent="0.25">
      <c r="A302" t="str">
        <f t="shared" si="15"/>
        <v>32356</v>
      </c>
      <c r="B302" t="s">
        <v>1128</v>
      </c>
      <c r="C302" t="s">
        <v>1153</v>
      </c>
      <c r="D302" t="str">
        <f>"5278"</f>
        <v>5278</v>
      </c>
      <c r="E302" t="s">
        <v>824</v>
      </c>
    </row>
    <row r="303" spans="1:5" x14ac:dyDescent="0.25">
      <c r="A303" t="str">
        <f t="shared" si="15"/>
        <v>32356</v>
      </c>
      <c r="B303" t="s">
        <v>1128</v>
      </c>
      <c r="C303" t="s">
        <v>1154</v>
      </c>
      <c r="D303" t="str">
        <f>"5542"</f>
        <v>5542</v>
      </c>
      <c r="E303" t="s">
        <v>824</v>
      </c>
    </row>
    <row r="304" spans="1:5" x14ac:dyDescent="0.25">
      <c r="A304" t="str">
        <f t="shared" si="15"/>
        <v>32356</v>
      </c>
      <c r="B304" t="s">
        <v>1128</v>
      </c>
      <c r="C304" t="s">
        <v>1155</v>
      </c>
      <c r="D304" t="str">
        <f>"3465"</f>
        <v>3465</v>
      </c>
      <c r="E304" t="s">
        <v>821</v>
      </c>
    </row>
    <row r="305" spans="1:5" x14ac:dyDescent="0.25">
      <c r="A305" t="str">
        <f t="shared" si="15"/>
        <v>32356</v>
      </c>
      <c r="B305" t="s">
        <v>1128</v>
      </c>
      <c r="C305" t="s">
        <v>1156</v>
      </c>
      <c r="D305" t="str">
        <f>"4160"</f>
        <v>4160</v>
      </c>
      <c r="E305" t="s">
        <v>818</v>
      </c>
    </row>
    <row r="306" spans="1:5" x14ac:dyDescent="0.25">
      <c r="A306" t="str">
        <f t="shared" si="15"/>
        <v>32356</v>
      </c>
      <c r="B306" t="s">
        <v>1128</v>
      </c>
      <c r="C306" t="s">
        <v>1157</v>
      </c>
      <c r="D306" t="str">
        <f>"3064"</f>
        <v>3064</v>
      </c>
      <c r="E306" t="s">
        <v>818</v>
      </c>
    </row>
    <row r="307" spans="1:5" x14ac:dyDescent="0.25">
      <c r="A307" t="str">
        <f t="shared" si="15"/>
        <v>32356</v>
      </c>
      <c r="B307" t="s">
        <v>1128</v>
      </c>
      <c r="C307" t="s">
        <v>1158</v>
      </c>
      <c r="D307" t="str">
        <f>"3415"</f>
        <v>3415</v>
      </c>
      <c r="E307" t="s">
        <v>824</v>
      </c>
    </row>
    <row r="308" spans="1:5" x14ac:dyDescent="0.25">
      <c r="A308" t="str">
        <f>"21926"</f>
        <v>21926</v>
      </c>
      <c r="B308" t="s">
        <v>1159</v>
      </c>
      <c r="C308" t="s">
        <v>1160</v>
      </c>
      <c r="D308" t="str">
        <f>"3598"</f>
        <v>3598</v>
      </c>
      <c r="E308" t="s">
        <v>824</v>
      </c>
    </row>
    <row r="309" spans="1:5" x14ac:dyDescent="0.25">
      <c r="A309" t="str">
        <f t="shared" ref="A309:A317" si="16">"21401"</f>
        <v>21401</v>
      </c>
      <c r="B309" t="s">
        <v>1161</v>
      </c>
      <c r="C309" t="s">
        <v>1162</v>
      </c>
      <c r="D309" t="str">
        <f>"2166"</f>
        <v>2166</v>
      </c>
      <c r="E309" t="s">
        <v>824</v>
      </c>
    </row>
    <row r="310" spans="1:5" x14ac:dyDescent="0.25">
      <c r="A310" t="str">
        <f t="shared" si="16"/>
        <v>21401</v>
      </c>
      <c r="B310" t="s">
        <v>1161</v>
      </c>
      <c r="C310" t="s">
        <v>1163</v>
      </c>
      <c r="D310" t="str">
        <f>"3240"</f>
        <v>3240</v>
      </c>
      <c r="E310" t="s">
        <v>830</v>
      </c>
    </row>
    <row r="311" spans="1:5" x14ac:dyDescent="0.25">
      <c r="A311" t="str">
        <f t="shared" si="16"/>
        <v>21401</v>
      </c>
      <c r="B311" t="s">
        <v>1161</v>
      </c>
      <c r="C311" t="s">
        <v>1164</v>
      </c>
      <c r="D311" t="str">
        <f>"5463"</f>
        <v>5463</v>
      </c>
      <c r="E311" t="s">
        <v>826</v>
      </c>
    </row>
    <row r="312" spans="1:5" x14ac:dyDescent="0.25">
      <c r="A312" t="str">
        <f t="shared" si="16"/>
        <v>21401</v>
      </c>
      <c r="B312" t="s">
        <v>1161</v>
      </c>
      <c r="C312" t="s">
        <v>1165</v>
      </c>
      <c r="D312" t="str">
        <f>"2244"</f>
        <v>2244</v>
      </c>
      <c r="E312" t="s">
        <v>818</v>
      </c>
    </row>
    <row r="313" spans="1:5" x14ac:dyDescent="0.25">
      <c r="A313" t="str">
        <f t="shared" si="16"/>
        <v>21401</v>
      </c>
      <c r="B313" t="s">
        <v>1161</v>
      </c>
      <c r="C313" t="s">
        <v>1166</v>
      </c>
      <c r="D313" t="str">
        <f>"2704"</f>
        <v>2704</v>
      </c>
      <c r="E313" t="s">
        <v>818</v>
      </c>
    </row>
    <row r="314" spans="1:5" x14ac:dyDescent="0.25">
      <c r="A314" t="str">
        <f t="shared" si="16"/>
        <v>21401</v>
      </c>
      <c r="B314" t="s">
        <v>1161</v>
      </c>
      <c r="C314" t="s">
        <v>1167</v>
      </c>
      <c r="D314" t="str">
        <f>"5359"</f>
        <v>5359</v>
      </c>
      <c r="E314" t="s">
        <v>824</v>
      </c>
    </row>
    <row r="315" spans="1:5" x14ac:dyDescent="0.25">
      <c r="A315" t="str">
        <f t="shared" si="16"/>
        <v>21401</v>
      </c>
      <c r="B315" t="s">
        <v>1161</v>
      </c>
      <c r="C315" t="s">
        <v>1168</v>
      </c>
      <c r="D315" t="str">
        <f>"3172"</f>
        <v>3172</v>
      </c>
      <c r="E315" t="s">
        <v>818</v>
      </c>
    </row>
    <row r="316" spans="1:5" x14ac:dyDescent="0.25">
      <c r="A316" t="str">
        <f t="shared" si="16"/>
        <v>21401</v>
      </c>
      <c r="B316" t="s">
        <v>1161</v>
      </c>
      <c r="C316" t="s">
        <v>1169</v>
      </c>
      <c r="D316" t="str">
        <f>"2291"</f>
        <v>2291</v>
      </c>
      <c r="E316" t="s">
        <v>818</v>
      </c>
    </row>
    <row r="317" spans="1:5" x14ac:dyDescent="0.25">
      <c r="A317" t="str">
        <f t="shared" si="16"/>
        <v>21401</v>
      </c>
      <c r="B317" t="s">
        <v>1161</v>
      </c>
      <c r="C317" t="s">
        <v>887</v>
      </c>
      <c r="D317" t="str">
        <f>"2768"</f>
        <v>2768</v>
      </c>
      <c r="E317" t="s">
        <v>818</v>
      </c>
    </row>
    <row r="318" spans="1:5" x14ac:dyDescent="0.25">
      <c r="A318" t="str">
        <f t="shared" ref="A318:A325" si="17">"21302"</f>
        <v>21302</v>
      </c>
      <c r="B318" t="s">
        <v>1170</v>
      </c>
      <c r="C318" t="s">
        <v>1171</v>
      </c>
      <c r="D318" t="str">
        <f>"4311"</f>
        <v>4311</v>
      </c>
      <c r="E318" t="s">
        <v>830</v>
      </c>
    </row>
    <row r="319" spans="1:5" x14ac:dyDescent="0.25">
      <c r="A319" t="str">
        <f t="shared" si="17"/>
        <v>21302</v>
      </c>
      <c r="B319" t="s">
        <v>1170</v>
      </c>
      <c r="C319" t="s">
        <v>1172</v>
      </c>
      <c r="D319" t="str">
        <f>"2027"</f>
        <v>2027</v>
      </c>
      <c r="E319" t="s">
        <v>824</v>
      </c>
    </row>
    <row r="320" spans="1:5" x14ac:dyDescent="0.25">
      <c r="A320" t="str">
        <f t="shared" si="17"/>
        <v>21302</v>
      </c>
      <c r="B320" t="s">
        <v>1170</v>
      </c>
      <c r="C320" t="s">
        <v>1173</v>
      </c>
      <c r="D320" t="str">
        <f>"5509"</f>
        <v>5509</v>
      </c>
      <c r="E320" t="s">
        <v>818</v>
      </c>
    </row>
    <row r="321" spans="1:5" x14ac:dyDescent="0.25">
      <c r="A321" t="str">
        <f t="shared" si="17"/>
        <v>21302</v>
      </c>
      <c r="B321" t="s">
        <v>1170</v>
      </c>
      <c r="C321" t="s">
        <v>1174</v>
      </c>
      <c r="D321" t="str">
        <f>"5369"</f>
        <v>5369</v>
      </c>
      <c r="E321" t="s">
        <v>821</v>
      </c>
    </row>
    <row r="322" spans="1:5" x14ac:dyDescent="0.25">
      <c r="A322" t="str">
        <f t="shared" si="17"/>
        <v>21302</v>
      </c>
      <c r="B322" t="s">
        <v>1170</v>
      </c>
      <c r="C322" t="s">
        <v>1175</v>
      </c>
      <c r="D322" t="str">
        <f>"5317"</f>
        <v>5317</v>
      </c>
      <c r="E322" t="s">
        <v>824</v>
      </c>
    </row>
    <row r="323" spans="1:5" x14ac:dyDescent="0.25">
      <c r="A323" t="str">
        <f t="shared" si="17"/>
        <v>21302</v>
      </c>
      <c r="B323" t="s">
        <v>1170</v>
      </c>
      <c r="C323" t="s">
        <v>1176</v>
      </c>
      <c r="D323" t="str">
        <f>"1559"</f>
        <v>1559</v>
      </c>
      <c r="E323" t="s">
        <v>821</v>
      </c>
    </row>
    <row r="324" spans="1:5" x14ac:dyDescent="0.25">
      <c r="A324" t="str">
        <f t="shared" si="17"/>
        <v>21302</v>
      </c>
      <c r="B324" t="s">
        <v>1170</v>
      </c>
      <c r="C324" t="s">
        <v>1177</v>
      </c>
      <c r="D324" t="str">
        <f>"5510"</f>
        <v>5510</v>
      </c>
      <c r="E324" t="s">
        <v>818</v>
      </c>
    </row>
    <row r="325" spans="1:5" x14ac:dyDescent="0.25">
      <c r="A325" t="str">
        <f t="shared" si="17"/>
        <v>21302</v>
      </c>
      <c r="B325" t="s">
        <v>1170</v>
      </c>
      <c r="C325" t="s">
        <v>1178</v>
      </c>
      <c r="D325" t="str">
        <f>"2799"</f>
        <v>2799</v>
      </c>
      <c r="E325" t="s">
        <v>824</v>
      </c>
    </row>
    <row r="326" spans="1:5" x14ac:dyDescent="0.25">
      <c r="A326" t="str">
        <f t="shared" ref="A326:A337" si="18">"32360"</f>
        <v>32360</v>
      </c>
      <c r="B326" t="s">
        <v>1179</v>
      </c>
      <c r="C326" t="s">
        <v>1180</v>
      </c>
      <c r="D326" t="str">
        <f>"2954"</f>
        <v>2954</v>
      </c>
      <c r="E326" t="s">
        <v>818</v>
      </c>
    </row>
    <row r="327" spans="1:5" x14ac:dyDescent="0.25">
      <c r="A327" t="str">
        <f t="shared" si="18"/>
        <v>32360</v>
      </c>
      <c r="B327" t="s">
        <v>1179</v>
      </c>
      <c r="C327" t="s">
        <v>1181</v>
      </c>
      <c r="D327" t="str">
        <f>"5126"</f>
        <v>5126</v>
      </c>
      <c r="E327" t="s">
        <v>826</v>
      </c>
    </row>
    <row r="328" spans="1:5" x14ac:dyDescent="0.25">
      <c r="A328" t="str">
        <f t="shared" si="18"/>
        <v>32360</v>
      </c>
      <c r="B328" t="s">
        <v>1179</v>
      </c>
      <c r="C328" t="s">
        <v>1182</v>
      </c>
      <c r="D328" t="str">
        <f>"3610"</f>
        <v>3610</v>
      </c>
      <c r="E328" t="s">
        <v>824</v>
      </c>
    </row>
    <row r="329" spans="1:5" x14ac:dyDescent="0.25">
      <c r="A329" t="str">
        <f t="shared" si="18"/>
        <v>32360</v>
      </c>
      <c r="B329" t="s">
        <v>1179</v>
      </c>
      <c r="C329" t="s">
        <v>1183</v>
      </c>
      <c r="D329" t="str">
        <f>"2447"</f>
        <v>2447</v>
      </c>
      <c r="E329" t="s">
        <v>830</v>
      </c>
    </row>
    <row r="330" spans="1:5" x14ac:dyDescent="0.25">
      <c r="A330" t="str">
        <f t="shared" si="18"/>
        <v>32360</v>
      </c>
      <c r="B330" t="s">
        <v>1179</v>
      </c>
      <c r="C330" t="s">
        <v>1184</v>
      </c>
      <c r="D330" t="str">
        <f>"5396"</f>
        <v>5396</v>
      </c>
      <c r="E330" t="s">
        <v>821</v>
      </c>
    </row>
    <row r="331" spans="1:5" x14ac:dyDescent="0.25">
      <c r="A331" t="str">
        <f t="shared" si="18"/>
        <v>32360</v>
      </c>
      <c r="B331" t="s">
        <v>1179</v>
      </c>
      <c r="C331" t="s">
        <v>1185</v>
      </c>
      <c r="D331" t="str">
        <f>"5035"</f>
        <v>5035</v>
      </c>
      <c r="E331" t="s">
        <v>859</v>
      </c>
    </row>
    <row r="332" spans="1:5" x14ac:dyDescent="0.25">
      <c r="A332" t="str">
        <f t="shared" si="18"/>
        <v>32360</v>
      </c>
      <c r="B332" t="s">
        <v>1179</v>
      </c>
      <c r="C332" t="s">
        <v>1186</v>
      </c>
      <c r="D332" t="str">
        <f>"5294"</f>
        <v>5294</v>
      </c>
      <c r="E332" t="s">
        <v>818</v>
      </c>
    </row>
    <row r="333" spans="1:5" x14ac:dyDescent="0.25">
      <c r="A333" t="str">
        <f t="shared" si="18"/>
        <v>32360</v>
      </c>
      <c r="B333" t="s">
        <v>1179</v>
      </c>
      <c r="C333" t="s">
        <v>1187</v>
      </c>
      <c r="D333" t="str">
        <f>"3761"</f>
        <v>3761</v>
      </c>
      <c r="E333" t="s">
        <v>818</v>
      </c>
    </row>
    <row r="334" spans="1:5" x14ac:dyDescent="0.25">
      <c r="A334" t="str">
        <f t="shared" si="18"/>
        <v>32360</v>
      </c>
      <c r="B334" t="s">
        <v>1179</v>
      </c>
      <c r="C334" t="s">
        <v>1188</v>
      </c>
      <c r="D334" t="str">
        <f>"2814"</f>
        <v>2814</v>
      </c>
      <c r="E334" t="s">
        <v>818</v>
      </c>
    </row>
    <row r="335" spans="1:5" x14ac:dyDescent="0.25">
      <c r="A335" t="str">
        <f t="shared" si="18"/>
        <v>32360</v>
      </c>
      <c r="B335" t="s">
        <v>1179</v>
      </c>
      <c r="C335" t="s">
        <v>1189</v>
      </c>
      <c r="D335" t="str">
        <f>"1769"</f>
        <v>1769</v>
      </c>
      <c r="E335" t="s">
        <v>824</v>
      </c>
    </row>
    <row r="336" spans="1:5" x14ac:dyDescent="0.25">
      <c r="A336" t="str">
        <f t="shared" si="18"/>
        <v>32360</v>
      </c>
      <c r="B336" t="s">
        <v>1179</v>
      </c>
      <c r="C336" t="s">
        <v>1190</v>
      </c>
      <c r="D336" t="str">
        <f>"5269"</f>
        <v>5269</v>
      </c>
      <c r="E336" t="s">
        <v>830</v>
      </c>
    </row>
    <row r="337" spans="1:5" x14ac:dyDescent="0.25">
      <c r="A337" t="str">
        <f t="shared" si="18"/>
        <v>32360</v>
      </c>
      <c r="B337" t="s">
        <v>1179</v>
      </c>
      <c r="C337" t="s">
        <v>1191</v>
      </c>
      <c r="D337" t="str">
        <f>"3309"</f>
        <v>3309</v>
      </c>
      <c r="E337" t="s">
        <v>818</v>
      </c>
    </row>
    <row r="338" spans="1:5" x14ac:dyDescent="0.25">
      <c r="A338" t="str">
        <f>"33036"</f>
        <v>33036</v>
      </c>
      <c r="B338" t="s">
        <v>1192</v>
      </c>
      <c r="C338" t="s">
        <v>1193</v>
      </c>
      <c r="D338" t="str">
        <f>"1763"</f>
        <v>1763</v>
      </c>
      <c r="E338" t="s">
        <v>859</v>
      </c>
    </row>
    <row r="339" spans="1:5" x14ac:dyDescent="0.25">
      <c r="A339" t="str">
        <f>"33036"</f>
        <v>33036</v>
      </c>
      <c r="B339" t="s">
        <v>1192</v>
      </c>
      <c r="C339" t="s">
        <v>1194</v>
      </c>
      <c r="D339" t="str">
        <f>"5523"</f>
        <v>5523</v>
      </c>
      <c r="E339" t="s">
        <v>824</v>
      </c>
    </row>
    <row r="340" spans="1:5" x14ac:dyDescent="0.25">
      <c r="A340" t="str">
        <f>"33036"</f>
        <v>33036</v>
      </c>
      <c r="B340" t="s">
        <v>1192</v>
      </c>
      <c r="C340" t="s">
        <v>1195</v>
      </c>
      <c r="D340" t="str">
        <f>"2664"</f>
        <v>2664</v>
      </c>
      <c r="E340" t="s">
        <v>818</v>
      </c>
    </row>
    <row r="341" spans="1:5" x14ac:dyDescent="0.25">
      <c r="A341" t="str">
        <f>"33036"</f>
        <v>33036</v>
      </c>
      <c r="B341" t="s">
        <v>1192</v>
      </c>
      <c r="C341" t="s">
        <v>1196</v>
      </c>
      <c r="D341" t="str">
        <f>"2404"</f>
        <v>2404</v>
      </c>
      <c r="E341" t="s">
        <v>821</v>
      </c>
    </row>
    <row r="342" spans="1:5" x14ac:dyDescent="0.25">
      <c r="A342" t="str">
        <f>"27901"</f>
        <v>27901</v>
      </c>
      <c r="B342" t="s">
        <v>1197</v>
      </c>
      <c r="C342" t="s">
        <v>1198</v>
      </c>
      <c r="D342" t="str">
        <f>"5549"</f>
        <v>5549</v>
      </c>
      <c r="E342" t="s">
        <v>859</v>
      </c>
    </row>
    <row r="343" spans="1:5" x14ac:dyDescent="0.25">
      <c r="A343" t="str">
        <f t="shared" ref="A343:A348" si="19">"16049"</f>
        <v>16049</v>
      </c>
      <c r="B343" t="s">
        <v>1199</v>
      </c>
      <c r="C343" t="s">
        <v>1200</v>
      </c>
      <c r="D343" t="str">
        <f>"4552"</f>
        <v>4552</v>
      </c>
      <c r="E343" t="s">
        <v>818</v>
      </c>
    </row>
    <row r="344" spans="1:5" x14ac:dyDescent="0.25">
      <c r="A344" t="str">
        <f t="shared" si="19"/>
        <v>16049</v>
      </c>
      <c r="B344" t="s">
        <v>1199</v>
      </c>
      <c r="C344" t="s">
        <v>1201</v>
      </c>
      <c r="D344" t="str">
        <f>"2697"</f>
        <v>2697</v>
      </c>
      <c r="E344" t="s">
        <v>818</v>
      </c>
    </row>
    <row r="345" spans="1:5" x14ac:dyDescent="0.25">
      <c r="A345" t="str">
        <f t="shared" si="19"/>
        <v>16049</v>
      </c>
      <c r="B345" t="s">
        <v>1199</v>
      </c>
      <c r="C345" t="s">
        <v>1202</v>
      </c>
      <c r="D345" t="str">
        <f>"3275"</f>
        <v>3275</v>
      </c>
      <c r="E345" t="s">
        <v>824</v>
      </c>
    </row>
    <row r="346" spans="1:5" x14ac:dyDescent="0.25">
      <c r="A346" t="str">
        <f t="shared" si="19"/>
        <v>16049</v>
      </c>
      <c r="B346" t="s">
        <v>1199</v>
      </c>
      <c r="C346" t="s">
        <v>1203</v>
      </c>
      <c r="D346" t="str">
        <f>"4261"</f>
        <v>4261</v>
      </c>
      <c r="E346" t="s">
        <v>830</v>
      </c>
    </row>
    <row r="347" spans="1:5" x14ac:dyDescent="0.25">
      <c r="A347" t="str">
        <f t="shared" si="19"/>
        <v>16049</v>
      </c>
      <c r="B347" t="s">
        <v>1199</v>
      </c>
      <c r="C347" t="s">
        <v>1204</v>
      </c>
      <c r="D347" t="str">
        <f>"5397"</f>
        <v>5397</v>
      </c>
      <c r="E347" t="s">
        <v>824</v>
      </c>
    </row>
    <row r="348" spans="1:5" x14ac:dyDescent="0.25">
      <c r="A348" t="str">
        <f t="shared" si="19"/>
        <v>16049</v>
      </c>
      <c r="B348" t="s">
        <v>1199</v>
      </c>
      <c r="C348" t="s">
        <v>1205</v>
      </c>
      <c r="D348" t="str">
        <f>"1724"</f>
        <v>1724</v>
      </c>
      <c r="E348" t="s">
        <v>859</v>
      </c>
    </row>
    <row r="349" spans="1:5" x14ac:dyDescent="0.25">
      <c r="A349" t="str">
        <f t="shared" ref="A349:A357" si="20">"02250"</f>
        <v>02250</v>
      </c>
      <c r="B349" t="s">
        <v>1206</v>
      </c>
      <c r="C349" t="s">
        <v>1207</v>
      </c>
      <c r="D349" t="str">
        <f>"2299"</f>
        <v>2299</v>
      </c>
      <c r="E349" t="s">
        <v>824</v>
      </c>
    </row>
    <row r="350" spans="1:5" x14ac:dyDescent="0.25">
      <c r="A350" t="str">
        <f t="shared" si="20"/>
        <v>02250</v>
      </c>
      <c r="B350" t="s">
        <v>1206</v>
      </c>
      <c r="C350" t="s">
        <v>1208</v>
      </c>
      <c r="D350" t="str">
        <f>"1617"</f>
        <v>1617</v>
      </c>
      <c r="E350" t="s">
        <v>821</v>
      </c>
    </row>
    <row r="351" spans="1:5" x14ac:dyDescent="0.25">
      <c r="A351" t="str">
        <f t="shared" si="20"/>
        <v>02250</v>
      </c>
      <c r="B351" t="s">
        <v>1206</v>
      </c>
      <c r="C351" t="s">
        <v>1209</v>
      </c>
      <c r="D351" t="str">
        <f>"5413"</f>
        <v>5413</v>
      </c>
      <c r="E351" t="s">
        <v>824</v>
      </c>
    </row>
    <row r="352" spans="1:5" x14ac:dyDescent="0.25">
      <c r="A352" t="str">
        <f t="shared" si="20"/>
        <v>02250</v>
      </c>
      <c r="B352" t="s">
        <v>1206</v>
      </c>
      <c r="C352" t="s">
        <v>1210</v>
      </c>
      <c r="D352" t="str">
        <f>"2962"</f>
        <v>2962</v>
      </c>
      <c r="E352" t="s">
        <v>818</v>
      </c>
    </row>
    <row r="353" spans="1:5" x14ac:dyDescent="0.25">
      <c r="A353" t="str">
        <f t="shared" si="20"/>
        <v>02250</v>
      </c>
      <c r="B353" t="s">
        <v>1206</v>
      </c>
      <c r="C353" t="s">
        <v>1211</v>
      </c>
      <c r="D353" t="str">
        <f>"4384"</f>
        <v>4384</v>
      </c>
      <c r="E353" t="s">
        <v>818</v>
      </c>
    </row>
    <row r="354" spans="1:5" x14ac:dyDescent="0.25">
      <c r="A354" t="str">
        <f t="shared" si="20"/>
        <v>02250</v>
      </c>
      <c r="B354" t="s">
        <v>1206</v>
      </c>
      <c r="C354" t="s">
        <v>1212</v>
      </c>
      <c r="D354" t="str">
        <f>"3266"</f>
        <v>3266</v>
      </c>
      <c r="E354" t="s">
        <v>818</v>
      </c>
    </row>
    <row r="355" spans="1:5" x14ac:dyDescent="0.25">
      <c r="A355" t="str">
        <f t="shared" si="20"/>
        <v>02250</v>
      </c>
      <c r="B355" t="s">
        <v>1206</v>
      </c>
      <c r="C355" t="s">
        <v>1213</v>
      </c>
      <c r="D355" t="str">
        <f>"2501"</f>
        <v>2501</v>
      </c>
      <c r="E355" t="s">
        <v>830</v>
      </c>
    </row>
    <row r="356" spans="1:5" x14ac:dyDescent="0.25">
      <c r="A356" t="str">
        <f t="shared" si="20"/>
        <v>02250</v>
      </c>
      <c r="B356" t="s">
        <v>1206</v>
      </c>
      <c r="C356" t="s">
        <v>1214</v>
      </c>
      <c r="D356" t="str">
        <f>"2823"</f>
        <v>2823</v>
      </c>
      <c r="E356" t="s">
        <v>818</v>
      </c>
    </row>
    <row r="357" spans="1:5" x14ac:dyDescent="0.25">
      <c r="A357" t="str">
        <f t="shared" si="20"/>
        <v>02250</v>
      </c>
      <c r="B357" t="s">
        <v>1206</v>
      </c>
      <c r="C357" t="s">
        <v>1042</v>
      </c>
      <c r="D357" t="str">
        <f>"3616"</f>
        <v>3616</v>
      </c>
      <c r="E357" t="s">
        <v>851</v>
      </c>
    </row>
    <row r="358" spans="1:5" x14ac:dyDescent="0.25">
      <c r="A358" t="str">
        <f>"19404"</f>
        <v>19404</v>
      </c>
      <c r="B358" t="s">
        <v>1215</v>
      </c>
      <c r="C358" t="s">
        <v>1216</v>
      </c>
      <c r="D358" t="str">
        <f>"2328"</f>
        <v>2328</v>
      </c>
      <c r="E358" t="s">
        <v>818</v>
      </c>
    </row>
    <row r="359" spans="1:5" x14ac:dyDescent="0.25">
      <c r="A359" t="str">
        <f>"19404"</f>
        <v>19404</v>
      </c>
      <c r="B359" t="s">
        <v>1215</v>
      </c>
      <c r="C359" t="s">
        <v>1217</v>
      </c>
      <c r="D359" t="str">
        <f>"2329"</f>
        <v>2329</v>
      </c>
      <c r="E359" t="s">
        <v>824</v>
      </c>
    </row>
    <row r="360" spans="1:5" x14ac:dyDescent="0.25">
      <c r="A360" t="str">
        <f>"19404"</f>
        <v>19404</v>
      </c>
      <c r="B360" t="s">
        <v>1215</v>
      </c>
      <c r="C360" t="s">
        <v>1218</v>
      </c>
      <c r="D360" t="str">
        <f>"1987"</f>
        <v>1987</v>
      </c>
      <c r="E360" t="s">
        <v>824</v>
      </c>
    </row>
    <row r="361" spans="1:5" x14ac:dyDescent="0.25">
      <c r="A361" t="str">
        <f>"19404"</f>
        <v>19404</v>
      </c>
      <c r="B361" t="s">
        <v>1215</v>
      </c>
      <c r="C361" t="s">
        <v>1219</v>
      </c>
      <c r="D361" t="str">
        <f>"2570"</f>
        <v>2570</v>
      </c>
      <c r="E361" t="s">
        <v>830</v>
      </c>
    </row>
    <row r="362" spans="1:5" x14ac:dyDescent="0.25">
      <c r="A362" t="str">
        <f t="shared" ref="A362:A394" si="21">"27400"</f>
        <v>27400</v>
      </c>
      <c r="B362" t="s">
        <v>1220</v>
      </c>
      <c r="C362" t="s">
        <v>1221</v>
      </c>
      <c r="D362" t="str">
        <f>"1825"</f>
        <v>1825</v>
      </c>
      <c r="E362" t="s">
        <v>824</v>
      </c>
    </row>
    <row r="363" spans="1:5" x14ac:dyDescent="0.25">
      <c r="A363" t="str">
        <f t="shared" si="21"/>
        <v>27400</v>
      </c>
      <c r="B363" t="s">
        <v>1220</v>
      </c>
      <c r="C363" t="s">
        <v>1222</v>
      </c>
      <c r="D363" t="str">
        <f>"3454"</f>
        <v>3454</v>
      </c>
      <c r="E363" t="s">
        <v>818</v>
      </c>
    </row>
    <row r="364" spans="1:5" x14ac:dyDescent="0.25">
      <c r="A364" t="str">
        <f t="shared" si="21"/>
        <v>27400</v>
      </c>
      <c r="B364" t="s">
        <v>1220</v>
      </c>
      <c r="C364" t="s">
        <v>1223</v>
      </c>
      <c r="D364" t="str">
        <f>"3457"</f>
        <v>3457</v>
      </c>
      <c r="E364" t="s">
        <v>818</v>
      </c>
    </row>
    <row r="365" spans="1:5" x14ac:dyDescent="0.25">
      <c r="A365" t="str">
        <f t="shared" si="21"/>
        <v>27400</v>
      </c>
      <c r="B365" t="s">
        <v>1220</v>
      </c>
      <c r="C365" t="s">
        <v>1224</v>
      </c>
      <c r="D365" t="str">
        <f>"5386"</f>
        <v>5386</v>
      </c>
      <c r="E365" t="s">
        <v>826</v>
      </c>
    </row>
    <row r="366" spans="1:5" x14ac:dyDescent="0.25">
      <c r="A366" t="str">
        <f t="shared" si="21"/>
        <v>27400</v>
      </c>
      <c r="B366" t="s">
        <v>1220</v>
      </c>
      <c r="C366" t="s">
        <v>1225</v>
      </c>
      <c r="D366" t="str">
        <f>"2425"</f>
        <v>2425</v>
      </c>
      <c r="E366" t="s">
        <v>824</v>
      </c>
    </row>
    <row r="367" spans="1:5" x14ac:dyDescent="0.25">
      <c r="A367" t="str">
        <f t="shared" si="21"/>
        <v>27400</v>
      </c>
      <c r="B367" t="s">
        <v>1220</v>
      </c>
      <c r="C367" t="s">
        <v>1226</v>
      </c>
      <c r="D367" t="str">
        <f>"5411"</f>
        <v>5411</v>
      </c>
      <c r="E367" t="s">
        <v>824</v>
      </c>
    </row>
    <row r="368" spans="1:5" x14ac:dyDescent="0.25">
      <c r="A368" t="str">
        <f t="shared" si="21"/>
        <v>27400</v>
      </c>
      <c r="B368" t="s">
        <v>1220</v>
      </c>
      <c r="C368" t="s">
        <v>1227</v>
      </c>
      <c r="D368" t="str">
        <f>"2943"</f>
        <v>2943</v>
      </c>
      <c r="E368" t="s">
        <v>818</v>
      </c>
    </row>
    <row r="369" spans="1:5" x14ac:dyDescent="0.25">
      <c r="A369" t="str">
        <f t="shared" si="21"/>
        <v>27400</v>
      </c>
      <c r="B369" t="s">
        <v>1220</v>
      </c>
      <c r="C369" t="s">
        <v>1228</v>
      </c>
      <c r="D369" t="str">
        <f>"3455"</f>
        <v>3455</v>
      </c>
      <c r="E369" t="s">
        <v>818</v>
      </c>
    </row>
    <row r="370" spans="1:5" x14ac:dyDescent="0.25">
      <c r="A370" t="str">
        <f t="shared" si="21"/>
        <v>27400</v>
      </c>
      <c r="B370" t="s">
        <v>1220</v>
      </c>
      <c r="C370" t="s">
        <v>1229</v>
      </c>
      <c r="D370" t="str">
        <f>"4396"</f>
        <v>4396</v>
      </c>
      <c r="E370" t="s">
        <v>818</v>
      </c>
    </row>
    <row r="371" spans="1:5" x14ac:dyDescent="0.25">
      <c r="A371" t="str">
        <f t="shared" si="21"/>
        <v>27400</v>
      </c>
      <c r="B371" t="s">
        <v>1220</v>
      </c>
      <c r="C371" t="s">
        <v>1230</v>
      </c>
      <c r="D371" t="str">
        <f>"2041"</f>
        <v>2041</v>
      </c>
      <c r="E371" t="s">
        <v>821</v>
      </c>
    </row>
    <row r="372" spans="1:5" x14ac:dyDescent="0.25">
      <c r="A372" t="str">
        <f t="shared" si="21"/>
        <v>27400</v>
      </c>
      <c r="B372" t="s">
        <v>1220</v>
      </c>
      <c r="C372" t="s">
        <v>1231</v>
      </c>
      <c r="D372" t="str">
        <f>"5387"</f>
        <v>5387</v>
      </c>
      <c r="E372" t="s">
        <v>818</v>
      </c>
    </row>
    <row r="373" spans="1:5" x14ac:dyDescent="0.25">
      <c r="A373" t="str">
        <f t="shared" si="21"/>
        <v>27400</v>
      </c>
      <c r="B373" t="s">
        <v>1220</v>
      </c>
      <c r="C373" t="s">
        <v>1232</v>
      </c>
      <c r="D373" t="str">
        <f>"5027"</f>
        <v>5027</v>
      </c>
      <c r="E373" t="s">
        <v>821</v>
      </c>
    </row>
    <row r="374" spans="1:5" x14ac:dyDescent="0.25">
      <c r="A374" t="str">
        <f t="shared" si="21"/>
        <v>27400</v>
      </c>
      <c r="B374" t="s">
        <v>1220</v>
      </c>
      <c r="C374" t="s">
        <v>1233</v>
      </c>
      <c r="D374" t="str">
        <f>"3298"</f>
        <v>3298</v>
      </c>
      <c r="E374" t="s">
        <v>818</v>
      </c>
    </row>
    <row r="375" spans="1:5" x14ac:dyDescent="0.25">
      <c r="A375" t="str">
        <f t="shared" si="21"/>
        <v>27400</v>
      </c>
      <c r="B375" t="s">
        <v>1220</v>
      </c>
      <c r="C375" t="s">
        <v>1234</v>
      </c>
      <c r="D375" t="str">
        <f>"3248"</f>
        <v>3248</v>
      </c>
      <c r="E375" t="s">
        <v>830</v>
      </c>
    </row>
    <row r="376" spans="1:5" x14ac:dyDescent="0.25">
      <c r="A376" t="str">
        <f t="shared" si="21"/>
        <v>27400</v>
      </c>
      <c r="B376" t="s">
        <v>1220</v>
      </c>
      <c r="C376" t="s">
        <v>1235</v>
      </c>
      <c r="D376" t="str">
        <f>"3117"</f>
        <v>3117</v>
      </c>
      <c r="E376" t="s">
        <v>818</v>
      </c>
    </row>
    <row r="377" spans="1:5" x14ac:dyDescent="0.25">
      <c r="A377" t="str">
        <f t="shared" si="21"/>
        <v>27400</v>
      </c>
      <c r="B377" t="s">
        <v>1220</v>
      </c>
      <c r="C377" t="s">
        <v>1236</v>
      </c>
      <c r="D377" t="str">
        <f>"3351"</f>
        <v>3351</v>
      </c>
      <c r="E377" t="s">
        <v>818</v>
      </c>
    </row>
    <row r="378" spans="1:5" x14ac:dyDescent="0.25">
      <c r="A378" t="str">
        <f t="shared" si="21"/>
        <v>27400</v>
      </c>
      <c r="B378" t="s">
        <v>1220</v>
      </c>
      <c r="C378" t="s">
        <v>1237</v>
      </c>
      <c r="D378" t="str">
        <f>"3456"</f>
        <v>3456</v>
      </c>
      <c r="E378" t="s">
        <v>824</v>
      </c>
    </row>
    <row r="379" spans="1:5" x14ac:dyDescent="0.25">
      <c r="A379" t="str">
        <f t="shared" si="21"/>
        <v>27400</v>
      </c>
      <c r="B379" t="s">
        <v>1220</v>
      </c>
      <c r="C379" t="s">
        <v>1238</v>
      </c>
      <c r="D379" t="str">
        <f>"2652"</f>
        <v>2652</v>
      </c>
      <c r="E379" t="s">
        <v>818</v>
      </c>
    </row>
    <row r="380" spans="1:5" x14ac:dyDescent="0.25">
      <c r="A380" t="str">
        <f t="shared" si="21"/>
        <v>27400</v>
      </c>
      <c r="B380" t="s">
        <v>1220</v>
      </c>
      <c r="C380" t="s">
        <v>1239</v>
      </c>
      <c r="D380" t="str">
        <f>"3602"</f>
        <v>3602</v>
      </c>
      <c r="E380" t="s">
        <v>830</v>
      </c>
    </row>
    <row r="381" spans="1:5" x14ac:dyDescent="0.25">
      <c r="A381" t="str">
        <f t="shared" si="21"/>
        <v>27400</v>
      </c>
      <c r="B381" t="s">
        <v>1220</v>
      </c>
      <c r="C381" t="s">
        <v>1240</v>
      </c>
      <c r="D381" t="str">
        <f>"3297"</f>
        <v>3297</v>
      </c>
      <c r="E381" t="s">
        <v>830</v>
      </c>
    </row>
    <row r="382" spans="1:5" x14ac:dyDescent="0.25">
      <c r="A382" t="str">
        <f t="shared" si="21"/>
        <v>27400</v>
      </c>
      <c r="B382" t="s">
        <v>1220</v>
      </c>
      <c r="C382" t="s">
        <v>1241</v>
      </c>
      <c r="D382" t="str">
        <f>"5364"</f>
        <v>5364</v>
      </c>
      <c r="E382" t="s">
        <v>818</v>
      </c>
    </row>
    <row r="383" spans="1:5" x14ac:dyDescent="0.25">
      <c r="A383" t="str">
        <f t="shared" si="21"/>
        <v>27400</v>
      </c>
      <c r="B383" t="s">
        <v>1220</v>
      </c>
      <c r="C383" t="s">
        <v>1242</v>
      </c>
      <c r="D383" t="str">
        <f>"3910"</f>
        <v>3910</v>
      </c>
      <c r="E383" t="s">
        <v>818</v>
      </c>
    </row>
    <row r="384" spans="1:5" x14ac:dyDescent="0.25">
      <c r="A384" t="str">
        <f t="shared" si="21"/>
        <v>27400</v>
      </c>
      <c r="B384" t="s">
        <v>1220</v>
      </c>
      <c r="C384" t="s">
        <v>1243</v>
      </c>
      <c r="D384" t="str">
        <f>"3763"</f>
        <v>3763</v>
      </c>
      <c r="E384" t="s">
        <v>818</v>
      </c>
    </row>
    <row r="385" spans="1:5" x14ac:dyDescent="0.25">
      <c r="A385" t="str">
        <f t="shared" si="21"/>
        <v>27400</v>
      </c>
      <c r="B385" t="s">
        <v>1220</v>
      </c>
      <c r="C385" t="s">
        <v>1244</v>
      </c>
      <c r="D385" t="str">
        <f>"5298"</f>
        <v>5298</v>
      </c>
      <c r="E385" t="s">
        <v>824</v>
      </c>
    </row>
    <row r="386" spans="1:5" x14ac:dyDescent="0.25">
      <c r="A386" t="str">
        <f t="shared" si="21"/>
        <v>27400</v>
      </c>
      <c r="B386" t="s">
        <v>1220</v>
      </c>
      <c r="C386" t="s">
        <v>1245</v>
      </c>
      <c r="D386" t="str">
        <f>"2189"</f>
        <v>2189</v>
      </c>
      <c r="E386" t="s">
        <v>818</v>
      </c>
    </row>
    <row r="387" spans="1:5" x14ac:dyDescent="0.25">
      <c r="A387" t="str">
        <f t="shared" si="21"/>
        <v>27400</v>
      </c>
      <c r="B387" t="s">
        <v>1220</v>
      </c>
      <c r="C387" t="s">
        <v>1246</v>
      </c>
      <c r="D387" t="str">
        <f>"5365"</f>
        <v>5365</v>
      </c>
      <c r="E387" t="s">
        <v>818</v>
      </c>
    </row>
    <row r="388" spans="1:5" x14ac:dyDescent="0.25">
      <c r="A388" t="str">
        <f t="shared" si="21"/>
        <v>27400</v>
      </c>
      <c r="B388" t="s">
        <v>1220</v>
      </c>
      <c r="C388" t="s">
        <v>1247</v>
      </c>
      <c r="D388" t="str">
        <f>"1880"</f>
        <v>1880</v>
      </c>
      <c r="E388" t="s">
        <v>824</v>
      </c>
    </row>
    <row r="389" spans="1:5" x14ac:dyDescent="0.25">
      <c r="A389" t="str">
        <f t="shared" si="21"/>
        <v>27400</v>
      </c>
      <c r="B389" t="s">
        <v>1220</v>
      </c>
      <c r="C389" t="s">
        <v>1248</v>
      </c>
      <c r="D389" t="str">
        <f>"1881"</f>
        <v>1881</v>
      </c>
      <c r="E389" t="s">
        <v>830</v>
      </c>
    </row>
    <row r="390" spans="1:5" x14ac:dyDescent="0.25">
      <c r="A390" t="str">
        <f t="shared" si="21"/>
        <v>27400</v>
      </c>
      <c r="B390" t="s">
        <v>1220</v>
      </c>
      <c r="C390" t="s">
        <v>1249</v>
      </c>
      <c r="D390" t="str">
        <f>"1882"</f>
        <v>1882</v>
      </c>
      <c r="E390" t="s">
        <v>851</v>
      </c>
    </row>
    <row r="391" spans="1:5" x14ac:dyDescent="0.25">
      <c r="A391" t="str">
        <f t="shared" si="21"/>
        <v>27400</v>
      </c>
      <c r="B391" t="s">
        <v>1220</v>
      </c>
      <c r="C391" t="s">
        <v>1250</v>
      </c>
      <c r="D391" t="str">
        <f>"2651"</f>
        <v>2651</v>
      </c>
      <c r="E391" t="s">
        <v>818</v>
      </c>
    </row>
    <row r="392" spans="1:5" x14ac:dyDescent="0.25">
      <c r="A392" t="str">
        <f t="shared" si="21"/>
        <v>27400</v>
      </c>
      <c r="B392" t="s">
        <v>1220</v>
      </c>
      <c r="C392" t="s">
        <v>1251</v>
      </c>
      <c r="D392" t="str">
        <f>"5297"</f>
        <v>5297</v>
      </c>
      <c r="E392" t="s">
        <v>821</v>
      </c>
    </row>
    <row r="393" spans="1:5" x14ac:dyDescent="0.25">
      <c r="A393" t="str">
        <f t="shared" si="21"/>
        <v>27400</v>
      </c>
      <c r="B393" t="s">
        <v>1220</v>
      </c>
      <c r="C393" t="s">
        <v>1252</v>
      </c>
      <c r="D393" t="str">
        <f>"3249"</f>
        <v>3249</v>
      </c>
      <c r="E393" t="s">
        <v>818</v>
      </c>
    </row>
    <row r="394" spans="1:5" x14ac:dyDescent="0.25">
      <c r="A394" t="str">
        <f t="shared" si="21"/>
        <v>27400</v>
      </c>
      <c r="B394" t="s">
        <v>1220</v>
      </c>
      <c r="C394" t="s">
        <v>1253</v>
      </c>
      <c r="D394" t="str">
        <f>"3500"</f>
        <v>3500</v>
      </c>
      <c r="E394" t="s">
        <v>830</v>
      </c>
    </row>
    <row r="395" spans="1:5" x14ac:dyDescent="0.25">
      <c r="A395" t="str">
        <f>"27932"</f>
        <v>27932</v>
      </c>
      <c r="B395" t="s">
        <v>1254</v>
      </c>
      <c r="C395" t="s">
        <v>1255</v>
      </c>
      <c r="D395" t="str">
        <f>"5951"</f>
        <v>5951</v>
      </c>
      <c r="E395" t="s">
        <v>824</v>
      </c>
    </row>
    <row r="396" spans="1:5" x14ac:dyDescent="0.25">
      <c r="A396" t="str">
        <f>"38300"</f>
        <v>38300</v>
      </c>
      <c r="B396" t="s">
        <v>1256</v>
      </c>
      <c r="C396" t="s">
        <v>1257</v>
      </c>
      <c r="D396" t="str">
        <f>"3366"</f>
        <v>3366</v>
      </c>
      <c r="E396" t="s">
        <v>824</v>
      </c>
    </row>
    <row r="397" spans="1:5" x14ac:dyDescent="0.25">
      <c r="A397" t="str">
        <f>"38300"</f>
        <v>38300</v>
      </c>
      <c r="B397" t="s">
        <v>1256</v>
      </c>
      <c r="C397" t="s">
        <v>1258</v>
      </c>
      <c r="D397" t="str">
        <f>"2894"</f>
        <v>2894</v>
      </c>
      <c r="E397" t="s">
        <v>821</v>
      </c>
    </row>
    <row r="398" spans="1:5" x14ac:dyDescent="0.25">
      <c r="A398" t="str">
        <f>"36250"</f>
        <v>36250</v>
      </c>
      <c r="B398" t="s">
        <v>1259</v>
      </c>
      <c r="C398" t="s">
        <v>1260</v>
      </c>
      <c r="D398" t="str">
        <f>"5362"</f>
        <v>5362</v>
      </c>
      <c r="E398" t="s">
        <v>824</v>
      </c>
    </row>
    <row r="399" spans="1:5" x14ac:dyDescent="0.25">
      <c r="A399" t="str">
        <f>"36250"</f>
        <v>36250</v>
      </c>
      <c r="B399" t="s">
        <v>1259</v>
      </c>
      <c r="C399" t="s">
        <v>1261</v>
      </c>
      <c r="D399" t="str">
        <f>"2114"</f>
        <v>2114</v>
      </c>
      <c r="E399" t="s">
        <v>818</v>
      </c>
    </row>
    <row r="400" spans="1:5" x14ac:dyDescent="0.25">
      <c r="A400" t="str">
        <f>"36250"</f>
        <v>36250</v>
      </c>
      <c r="B400" t="s">
        <v>1259</v>
      </c>
      <c r="C400" t="s">
        <v>1262</v>
      </c>
      <c r="D400" t="str">
        <f>"3541"</f>
        <v>3541</v>
      </c>
      <c r="E400" t="s">
        <v>830</v>
      </c>
    </row>
    <row r="401" spans="1:5" x14ac:dyDescent="0.25">
      <c r="A401" t="str">
        <f>"38306"</f>
        <v>38306</v>
      </c>
      <c r="B401" t="s">
        <v>1263</v>
      </c>
      <c r="C401" t="s">
        <v>1264</v>
      </c>
      <c r="D401" t="str">
        <f>"2588"</f>
        <v>2588</v>
      </c>
      <c r="E401" t="s">
        <v>851</v>
      </c>
    </row>
    <row r="402" spans="1:5" x14ac:dyDescent="0.25">
      <c r="A402" t="str">
        <f>"33206"</f>
        <v>33206</v>
      </c>
      <c r="B402" t="s">
        <v>1265</v>
      </c>
      <c r="C402" t="s">
        <v>1266</v>
      </c>
      <c r="D402" t="str">
        <f>"5283"</f>
        <v>5283</v>
      </c>
      <c r="E402" t="s">
        <v>824</v>
      </c>
    </row>
    <row r="403" spans="1:5" x14ac:dyDescent="0.25">
      <c r="A403" t="str">
        <f>"33206"</f>
        <v>33206</v>
      </c>
      <c r="B403" t="s">
        <v>1265</v>
      </c>
      <c r="C403" t="s">
        <v>1267</v>
      </c>
      <c r="D403" t="str">
        <f>"3508"</f>
        <v>3508</v>
      </c>
      <c r="E403" t="s">
        <v>851</v>
      </c>
    </row>
    <row r="404" spans="1:5" x14ac:dyDescent="0.25">
      <c r="A404" t="str">
        <f>"36400"</f>
        <v>36400</v>
      </c>
      <c r="B404" t="s">
        <v>1268</v>
      </c>
      <c r="C404" t="s">
        <v>1269</v>
      </c>
      <c r="D404" t="str">
        <f>"3613"</f>
        <v>3613</v>
      </c>
      <c r="E404" t="s">
        <v>818</v>
      </c>
    </row>
    <row r="405" spans="1:5" x14ac:dyDescent="0.25">
      <c r="A405" t="str">
        <f>"36400"</f>
        <v>36400</v>
      </c>
      <c r="B405" t="s">
        <v>1268</v>
      </c>
      <c r="C405" t="s">
        <v>1270</v>
      </c>
      <c r="D405" t="str">
        <f>"4049"</f>
        <v>4049</v>
      </c>
      <c r="E405" t="s">
        <v>824</v>
      </c>
    </row>
    <row r="406" spans="1:5" x14ac:dyDescent="0.25">
      <c r="A406" t="str">
        <f>"36400"</f>
        <v>36400</v>
      </c>
      <c r="B406" t="s">
        <v>1268</v>
      </c>
      <c r="C406" t="s">
        <v>1271</v>
      </c>
      <c r="D406" t="str">
        <f>"3012"</f>
        <v>3012</v>
      </c>
      <c r="E406" t="s">
        <v>830</v>
      </c>
    </row>
    <row r="407" spans="1:5" x14ac:dyDescent="0.25">
      <c r="A407" t="str">
        <f>"33115"</f>
        <v>33115</v>
      </c>
      <c r="B407" t="s">
        <v>1272</v>
      </c>
      <c r="C407" t="s">
        <v>1273</v>
      </c>
      <c r="D407" t="str">
        <f>"3831"</f>
        <v>3831</v>
      </c>
      <c r="E407" t="s">
        <v>830</v>
      </c>
    </row>
    <row r="408" spans="1:5" x14ac:dyDescent="0.25">
      <c r="A408" t="str">
        <f>"33115"</f>
        <v>33115</v>
      </c>
      <c r="B408" t="s">
        <v>1272</v>
      </c>
      <c r="C408" t="s">
        <v>1274</v>
      </c>
      <c r="D408" t="str">
        <f>"3310"</f>
        <v>3310</v>
      </c>
      <c r="E408" t="s">
        <v>824</v>
      </c>
    </row>
    <row r="409" spans="1:5" x14ac:dyDescent="0.25">
      <c r="A409" t="str">
        <f>"33115"</f>
        <v>33115</v>
      </c>
      <c r="B409" t="s">
        <v>1272</v>
      </c>
      <c r="C409" t="s">
        <v>1275</v>
      </c>
      <c r="D409" t="str">
        <f>"4180"</f>
        <v>4180</v>
      </c>
      <c r="E409" t="s">
        <v>818</v>
      </c>
    </row>
    <row r="410" spans="1:5" x14ac:dyDescent="0.25">
      <c r="A410" t="str">
        <f>"33115"</f>
        <v>33115</v>
      </c>
      <c r="B410" t="s">
        <v>1272</v>
      </c>
      <c r="C410" t="s">
        <v>1276</v>
      </c>
      <c r="D410" t="str">
        <f>"2957"</f>
        <v>2957</v>
      </c>
      <c r="E410" t="s">
        <v>818</v>
      </c>
    </row>
    <row r="411" spans="1:5" x14ac:dyDescent="0.25">
      <c r="A411" t="str">
        <f>"33115"</f>
        <v>33115</v>
      </c>
      <c r="B411" t="s">
        <v>1272</v>
      </c>
      <c r="C411" t="s">
        <v>1277</v>
      </c>
      <c r="D411" t="str">
        <f>"1594"</f>
        <v>1594</v>
      </c>
      <c r="E411" t="s">
        <v>821</v>
      </c>
    </row>
    <row r="412" spans="1:5" x14ac:dyDescent="0.25">
      <c r="A412" t="str">
        <f>"29011"</f>
        <v>29011</v>
      </c>
      <c r="B412" t="s">
        <v>1278</v>
      </c>
      <c r="C412" t="s">
        <v>1279</v>
      </c>
      <c r="D412" t="str">
        <f>"2577"</f>
        <v>2577</v>
      </c>
      <c r="E412" t="s">
        <v>818</v>
      </c>
    </row>
    <row r="413" spans="1:5" x14ac:dyDescent="0.25">
      <c r="A413" t="str">
        <f>"29011"</f>
        <v>29011</v>
      </c>
      <c r="B413" t="s">
        <v>1278</v>
      </c>
      <c r="C413" t="s">
        <v>1280</v>
      </c>
      <c r="D413" t="str">
        <f>"2810"</f>
        <v>2810</v>
      </c>
      <c r="E413" t="s">
        <v>821</v>
      </c>
    </row>
    <row r="414" spans="1:5" x14ac:dyDescent="0.25">
      <c r="A414" t="str">
        <f>"29011"</f>
        <v>29011</v>
      </c>
      <c r="B414" t="s">
        <v>1278</v>
      </c>
      <c r="C414" t="s">
        <v>1281</v>
      </c>
      <c r="D414" t="str">
        <f>"5087"</f>
        <v>5087</v>
      </c>
      <c r="E414" t="s">
        <v>826</v>
      </c>
    </row>
    <row r="415" spans="1:5" x14ac:dyDescent="0.25">
      <c r="A415" t="str">
        <f>"29011"</f>
        <v>29011</v>
      </c>
      <c r="B415" t="s">
        <v>1278</v>
      </c>
      <c r="C415" t="s">
        <v>1282</v>
      </c>
      <c r="D415" t="str">
        <f>"1605"</f>
        <v>1605</v>
      </c>
      <c r="E415" t="s">
        <v>824</v>
      </c>
    </row>
    <row r="416" spans="1:5" x14ac:dyDescent="0.25">
      <c r="A416" t="str">
        <f>"29317"</f>
        <v>29317</v>
      </c>
      <c r="B416" t="s">
        <v>1283</v>
      </c>
      <c r="C416" t="s">
        <v>1284</v>
      </c>
      <c r="D416" t="str">
        <f>"2578"</f>
        <v>2578</v>
      </c>
      <c r="E416" t="s">
        <v>821</v>
      </c>
    </row>
    <row r="417" spans="1:5" x14ac:dyDescent="0.25">
      <c r="A417" t="str">
        <f>"14099"</f>
        <v>14099</v>
      </c>
      <c r="B417" t="s">
        <v>1285</v>
      </c>
      <c r="C417" t="s">
        <v>1286</v>
      </c>
      <c r="D417" t="str">
        <f>"3326"</f>
        <v>3326</v>
      </c>
      <c r="E417" t="s">
        <v>818</v>
      </c>
    </row>
    <row r="418" spans="1:5" x14ac:dyDescent="0.25">
      <c r="A418" t="str">
        <f>"13151"</f>
        <v>13151</v>
      </c>
      <c r="B418" t="s">
        <v>1287</v>
      </c>
      <c r="C418" t="s">
        <v>1288</v>
      </c>
      <c r="D418" t="str">
        <f>"2968"</f>
        <v>2968</v>
      </c>
      <c r="E418" t="s">
        <v>824</v>
      </c>
    </row>
    <row r="419" spans="1:5" x14ac:dyDescent="0.25">
      <c r="A419" t="str">
        <f>"13151"</f>
        <v>13151</v>
      </c>
      <c r="B419" t="s">
        <v>1287</v>
      </c>
      <c r="C419" t="s">
        <v>1289</v>
      </c>
      <c r="D419" t="str">
        <f>"2693"</f>
        <v>2693</v>
      </c>
      <c r="E419" t="s">
        <v>818</v>
      </c>
    </row>
    <row r="420" spans="1:5" x14ac:dyDescent="0.25">
      <c r="A420" t="str">
        <f>"13151"</f>
        <v>13151</v>
      </c>
      <c r="B420" t="s">
        <v>1287</v>
      </c>
      <c r="C420" t="s">
        <v>1290</v>
      </c>
      <c r="D420" t="str">
        <f>"2304"</f>
        <v>2304</v>
      </c>
      <c r="E420" t="s">
        <v>830</v>
      </c>
    </row>
    <row r="421" spans="1:5" x14ac:dyDescent="0.25">
      <c r="A421" t="str">
        <f t="shared" ref="A421:A427" si="22">"15204"</f>
        <v>15204</v>
      </c>
      <c r="B421" t="s">
        <v>1291</v>
      </c>
      <c r="C421" t="s">
        <v>1292</v>
      </c>
      <c r="D421" t="str">
        <f>"3664"</f>
        <v>3664</v>
      </c>
      <c r="E421" t="s">
        <v>818</v>
      </c>
    </row>
    <row r="422" spans="1:5" x14ac:dyDescent="0.25">
      <c r="A422" t="str">
        <f t="shared" si="22"/>
        <v>15204</v>
      </c>
      <c r="B422" t="s">
        <v>1291</v>
      </c>
      <c r="C422" t="s">
        <v>1293</v>
      </c>
      <c r="D422" t="str">
        <f>"2625"</f>
        <v>2625</v>
      </c>
      <c r="E422" t="s">
        <v>824</v>
      </c>
    </row>
    <row r="423" spans="1:5" x14ac:dyDescent="0.25">
      <c r="A423" t="str">
        <f t="shared" si="22"/>
        <v>15204</v>
      </c>
      <c r="B423" t="s">
        <v>1291</v>
      </c>
      <c r="C423" t="s">
        <v>1294</v>
      </c>
      <c r="D423" t="str">
        <f>"4004"</f>
        <v>4004</v>
      </c>
      <c r="E423" t="s">
        <v>830</v>
      </c>
    </row>
    <row r="424" spans="1:5" x14ac:dyDescent="0.25">
      <c r="A424" t="str">
        <f t="shared" si="22"/>
        <v>15204</v>
      </c>
      <c r="B424" t="s">
        <v>1291</v>
      </c>
      <c r="C424" t="s">
        <v>1295</v>
      </c>
      <c r="D424" t="str">
        <f>"5234"</f>
        <v>5234</v>
      </c>
      <c r="E424" t="s">
        <v>824</v>
      </c>
    </row>
    <row r="425" spans="1:5" x14ac:dyDescent="0.25">
      <c r="A425" t="str">
        <f t="shared" si="22"/>
        <v>15204</v>
      </c>
      <c r="B425" t="s">
        <v>1291</v>
      </c>
      <c r="C425" t="s">
        <v>1296</v>
      </c>
      <c r="D425" t="str">
        <f>"5059"</f>
        <v>5059</v>
      </c>
      <c r="E425" t="s">
        <v>821</v>
      </c>
    </row>
    <row r="426" spans="1:5" x14ac:dyDescent="0.25">
      <c r="A426" t="str">
        <f t="shared" si="22"/>
        <v>15204</v>
      </c>
      <c r="B426" t="s">
        <v>1291</v>
      </c>
      <c r="C426" t="s">
        <v>1297</v>
      </c>
      <c r="D426" t="str">
        <f>"5412"</f>
        <v>5412</v>
      </c>
      <c r="E426" t="s">
        <v>824</v>
      </c>
    </row>
    <row r="427" spans="1:5" x14ac:dyDescent="0.25">
      <c r="A427" t="str">
        <f t="shared" si="22"/>
        <v>15204</v>
      </c>
      <c r="B427" t="s">
        <v>1291</v>
      </c>
      <c r="C427" t="s">
        <v>1298</v>
      </c>
      <c r="D427" t="str">
        <f>"5034"</f>
        <v>5034</v>
      </c>
      <c r="E427" t="s">
        <v>826</v>
      </c>
    </row>
    <row r="428" spans="1:5" x14ac:dyDescent="0.25">
      <c r="A428" t="str">
        <f>"05313"</f>
        <v>05313</v>
      </c>
      <c r="B428" t="s">
        <v>1299</v>
      </c>
      <c r="C428" t="s">
        <v>1300</v>
      </c>
      <c r="D428" t="str">
        <f>"3473"</f>
        <v>3473</v>
      </c>
      <c r="E428" t="s">
        <v>859</v>
      </c>
    </row>
    <row r="429" spans="1:5" x14ac:dyDescent="0.25">
      <c r="A429" t="str">
        <f>"05313"</f>
        <v>05313</v>
      </c>
      <c r="B429" t="s">
        <v>1299</v>
      </c>
      <c r="C429" t="s">
        <v>1301</v>
      </c>
      <c r="D429" t="str">
        <f>"5030"</f>
        <v>5030</v>
      </c>
      <c r="E429" t="s">
        <v>859</v>
      </c>
    </row>
    <row r="430" spans="1:5" x14ac:dyDescent="0.25">
      <c r="A430" t="str">
        <f>"22073"</f>
        <v>22073</v>
      </c>
      <c r="B430" t="s">
        <v>1302</v>
      </c>
      <c r="C430" t="s">
        <v>1303</v>
      </c>
      <c r="D430" t="str">
        <f>"2862"</f>
        <v>2862</v>
      </c>
      <c r="E430" t="s">
        <v>818</v>
      </c>
    </row>
    <row r="431" spans="1:5" x14ac:dyDescent="0.25">
      <c r="A431" t="str">
        <f>"22073"</f>
        <v>22073</v>
      </c>
      <c r="B431" t="s">
        <v>1302</v>
      </c>
      <c r="C431" t="s">
        <v>1304</v>
      </c>
      <c r="D431" t="str">
        <f>"2863"</f>
        <v>2863</v>
      </c>
      <c r="E431" t="s">
        <v>821</v>
      </c>
    </row>
    <row r="432" spans="1:5" x14ac:dyDescent="0.25">
      <c r="A432" t="str">
        <f>"10050"</f>
        <v>10050</v>
      </c>
      <c r="B432" t="s">
        <v>1305</v>
      </c>
      <c r="C432" t="s">
        <v>1306</v>
      </c>
      <c r="D432" t="str">
        <f>"2006"</f>
        <v>2006</v>
      </c>
      <c r="E432" t="s">
        <v>859</v>
      </c>
    </row>
    <row r="433" spans="1:5" x14ac:dyDescent="0.25">
      <c r="A433" t="str">
        <f>"10050"</f>
        <v>10050</v>
      </c>
      <c r="B433" t="s">
        <v>1305</v>
      </c>
      <c r="C433" t="s">
        <v>1307</v>
      </c>
      <c r="D433" t="str">
        <f>"5530"</f>
        <v>5530</v>
      </c>
      <c r="E433" t="s">
        <v>824</v>
      </c>
    </row>
    <row r="434" spans="1:5" x14ac:dyDescent="0.25">
      <c r="A434" t="str">
        <f>"26059"</f>
        <v>26059</v>
      </c>
      <c r="B434" t="s">
        <v>1308</v>
      </c>
      <c r="C434" t="s">
        <v>1309</v>
      </c>
      <c r="D434" t="str">
        <f>"2770"</f>
        <v>2770</v>
      </c>
      <c r="E434" t="s">
        <v>818</v>
      </c>
    </row>
    <row r="435" spans="1:5" x14ac:dyDescent="0.25">
      <c r="A435" t="str">
        <f>"26059"</f>
        <v>26059</v>
      </c>
      <c r="B435" t="s">
        <v>1308</v>
      </c>
      <c r="C435" t="s">
        <v>1310</v>
      </c>
      <c r="D435" t="str">
        <f>"2423"</f>
        <v>2423</v>
      </c>
      <c r="E435" t="s">
        <v>821</v>
      </c>
    </row>
    <row r="436" spans="1:5" x14ac:dyDescent="0.25">
      <c r="A436" t="str">
        <f>"26059"</f>
        <v>26059</v>
      </c>
      <c r="B436" t="s">
        <v>1308</v>
      </c>
      <c r="C436" t="s">
        <v>1311</v>
      </c>
      <c r="D436" t="str">
        <f>"5538"</f>
        <v>5538</v>
      </c>
      <c r="E436" t="s">
        <v>859</v>
      </c>
    </row>
    <row r="437" spans="1:5" x14ac:dyDescent="0.25">
      <c r="A437" t="str">
        <f>"26059"</f>
        <v>26059</v>
      </c>
      <c r="B437" t="s">
        <v>1308</v>
      </c>
      <c r="C437" t="s">
        <v>1312</v>
      </c>
      <c r="D437" t="str">
        <f>"5539"</f>
        <v>5539</v>
      </c>
      <c r="E437" t="s">
        <v>818</v>
      </c>
    </row>
    <row r="438" spans="1:5" x14ac:dyDescent="0.25">
      <c r="A438" t="str">
        <f>"19007"</f>
        <v>19007</v>
      </c>
      <c r="B438" t="s">
        <v>1313</v>
      </c>
      <c r="C438" t="s">
        <v>1314</v>
      </c>
      <c r="D438" t="str">
        <f>"2077"</f>
        <v>2077</v>
      </c>
      <c r="E438" t="s">
        <v>818</v>
      </c>
    </row>
    <row r="439" spans="1:5" x14ac:dyDescent="0.25">
      <c r="A439" t="str">
        <f>"31330"</f>
        <v>31330</v>
      </c>
      <c r="B439" t="s">
        <v>1315</v>
      </c>
      <c r="C439" t="s">
        <v>1316</v>
      </c>
      <c r="D439" t="str">
        <f>"3609"</f>
        <v>3609</v>
      </c>
      <c r="E439" t="s">
        <v>818</v>
      </c>
    </row>
    <row r="440" spans="1:5" x14ac:dyDescent="0.25">
      <c r="A440" t="str">
        <f>"31330"</f>
        <v>31330</v>
      </c>
      <c r="B440" t="s">
        <v>1315</v>
      </c>
      <c r="C440" t="s">
        <v>1317</v>
      </c>
      <c r="D440" t="str">
        <f>"3188"</f>
        <v>3188</v>
      </c>
      <c r="E440" t="s">
        <v>824</v>
      </c>
    </row>
    <row r="441" spans="1:5" x14ac:dyDescent="0.25">
      <c r="A441" t="str">
        <f>"22207"</f>
        <v>22207</v>
      </c>
      <c r="B441" t="s">
        <v>1318</v>
      </c>
      <c r="C441" t="s">
        <v>1319</v>
      </c>
      <c r="D441" t="str">
        <f>"2668"</f>
        <v>2668</v>
      </c>
      <c r="E441" t="s">
        <v>818</v>
      </c>
    </row>
    <row r="442" spans="1:5" x14ac:dyDescent="0.25">
      <c r="A442" t="str">
        <f>"22207"</f>
        <v>22207</v>
      </c>
      <c r="B442" t="s">
        <v>1318</v>
      </c>
      <c r="C442" t="s">
        <v>1320</v>
      </c>
      <c r="D442" t="str">
        <f>"3173"</f>
        <v>3173</v>
      </c>
      <c r="E442" t="s">
        <v>821</v>
      </c>
    </row>
    <row r="443" spans="1:5" x14ac:dyDescent="0.25">
      <c r="A443" t="str">
        <f>"07002"</f>
        <v>07002</v>
      </c>
      <c r="B443" t="s">
        <v>1321</v>
      </c>
      <c r="C443" t="s">
        <v>1322</v>
      </c>
      <c r="D443" t="str">
        <f>"2830"</f>
        <v>2830</v>
      </c>
      <c r="E443" t="s">
        <v>818</v>
      </c>
    </row>
    <row r="444" spans="1:5" x14ac:dyDescent="0.25">
      <c r="A444" t="str">
        <f>"07002"</f>
        <v>07002</v>
      </c>
      <c r="B444" t="s">
        <v>1321</v>
      </c>
      <c r="C444" t="s">
        <v>1323</v>
      </c>
      <c r="D444" t="str">
        <f>"2302"</f>
        <v>2302</v>
      </c>
      <c r="E444" t="s">
        <v>824</v>
      </c>
    </row>
    <row r="445" spans="1:5" x14ac:dyDescent="0.25">
      <c r="A445" t="str">
        <f>"07002"</f>
        <v>07002</v>
      </c>
      <c r="B445" t="s">
        <v>1321</v>
      </c>
      <c r="C445" t="s">
        <v>1324</v>
      </c>
      <c r="D445" t="str">
        <f>"4011"</f>
        <v>4011</v>
      </c>
      <c r="E445" t="s">
        <v>830</v>
      </c>
    </row>
    <row r="446" spans="1:5" x14ac:dyDescent="0.25">
      <c r="A446" t="str">
        <f t="shared" ref="A446:A452" si="23">"32414"</f>
        <v>32414</v>
      </c>
      <c r="B446" t="s">
        <v>1325</v>
      </c>
      <c r="C446" t="s">
        <v>1326</v>
      </c>
      <c r="D446" t="str">
        <f>"2173"</f>
        <v>2173</v>
      </c>
      <c r="E446" t="s">
        <v>818</v>
      </c>
    </row>
    <row r="447" spans="1:5" x14ac:dyDescent="0.25">
      <c r="A447" t="str">
        <f t="shared" si="23"/>
        <v>32414</v>
      </c>
      <c r="B447" t="s">
        <v>1325</v>
      </c>
      <c r="C447" t="s">
        <v>1327</v>
      </c>
      <c r="D447" t="str">
        <f>"5124"</f>
        <v>5124</v>
      </c>
      <c r="E447" t="s">
        <v>826</v>
      </c>
    </row>
    <row r="448" spans="1:5" x14ac:dyDescent="0.25">
      <c r="A448" t="str">
        <f t="shared" si="23"/>
        <v>32414</v>
      </c>
      <c r="B448" t="s">
        <v>1325</v>
      </c>
      <c r="C448" t="s">
        <v>1328</v>
      </c>
      <c r="D448" t="str">
        <f>"5270"</f>
        <v>5270</v>
      </c>
      <c r="E448" t="s">
        <v>826</v>
      </c>
    </row>
    <row r="449" spans="1:5" x14ac:dyDescent="0.25">
      <c r="A449" t="str">
        <f t="shared" si="23"/>
        <v>32414</v>
      </c>
      <c r="B449" t="s">
        <v>1325</v>
      </c>
      <c r="C449" t="s">
        <v>1329</v>
      </c>
      <c r="D449" t="str">
        <f>"2430"</f>
        <v>2430</v>
      </c>
      <c r="E449" t="s">
        <v>818</v>
      </c>
    </row>
    <row r="450" spans="1:5" x14ac:dyDescent="0.25">
      <c r="A450" t="str">
        <f t="shared" si="23"/>
        <v>32414</v>
      </c>
      <c r="B450" t="s">
        <v>1325</v>
      </c>
      <c r="C450" t="s">
        <v>1330</v>
      </c>
      <c r="D450" t="str">
        <f>"4123"</f>
        <v>4123</v>
      </c>
      <c r="E450" t="s">
        <v>824</v>
      </c>
    </row>
    <row r="451" spans="1:5" x14ac:dyDescent="0.25">
      <c r="A451" t="str">
        <f t="shared" si="23"/>
        <v>32414</v>
      </c>
      <c r="B451" t="s">
        <v>1325</v>
      </c>
      <c r="C451" t="s">
        <v>1331</v>
      </c>
      <c r="D451" t="str">
        <f>"1852"</f>
        <v>1852</v>
      </c>
      <c r="E451" t="s">
        <v>859</v>
      </c>
    </row>
    <row r="452" spans="1:5" x14ac:dyDescent="0.25">
      <c r="A452" t="str">
        <f t="shared" si="23"/>
        <v>32414</v>
      </c>
      <c r="B452" t="s">
        <v>1325</v>
      </c>
      <c r="C452" t="s">
        <v>1332</v>
      </c>
      <c r="D452" t="str">
        <f>"3261"</f>
        <v>3261</v>
      </c>
      <c r="E452" t="s">
        <v>830</v>
      </c>
    </row>
    <row r="453" spans="1:5" x14ac:dyDescent="0.25">
      <c r="A453" t="str">
        <f>"27343"</f>
        <v>27343</v>
      </c>
      <c r="B453" t="s">
        <v>1333</v>
      </c>
      <c r="C453" t="s">
        <v>1334</v>
      </c>
      <c r="D453" t="str">
        <f>"4548"</f>
        <v>4548</v>
      </c>
      <c r="E453" t="s">
        <v>818</v>
      </c>
    </row>
    <row r="454" spans="1:5" x14ac:dyDescent="0.25">
      <c r="A454" t="str">
        <f>"27343"</f>
        <v>27343</v>
      </c>
      <c r="B454" t="s">
        <v>1333</v>
      </c>
      <c r="C454" t="s">
        <v>1335</v>
      </c>
      <c r="D454" t="str">
        <f>"3683"</f>
        <v>3683</v>
      </c>
      <c r="E454" t="s">
        <v>818</v>
      </c>
    </row>
    <row r="455" spans="1:5" x14ac:dyDescent="0.25">
      <c r="A455" t="str">
        <f>"27343"</f>
        <v>27343</v>
      </c>
      <c r="B455" t="s">
        <v>1333</v>
      </c>
      <c r="C455" t="s">
        <v>1336</v>
      </c>
      <c r="D455" t="str">
        <f>"4416"</f>
        <v>4416</v>
      </c>
      <c r="E455" t="s">
        <v>830</v>
      </c>
    </row>
    <row r="456" spans="1:5" x14ac:dyDescent="0.25">
      <c r="A456" t="str">
        <f>"36101"</f>
        <v>36101</v>
      </c>
      <c r="B456" t="s">
        <v>1337</v>
      </c>
      <c r="C456" t="s">
        <v>1338</v>
      </c>
      <c r="D456" t="str">
        <f>"2278"</f>
        <v>2278</v>
      </c>
      <c r="E456" t="s">
        <v>818</v>
      </c>
    </row>
    <row r="457" spans="1:5" x14ac:dyDescent="0.25">
      <c r="A457" t="str">
        <f t="shared" ref="A457:A466" si="24">"32361"</f>
        <v>32361</v>
      </c>
      <c r="B457" t="s">
        <v>1339</v>
      </c>
      <c r="C457" t="s">
        <v>1340</v>
      </c>
      <c r="D457" t="str">
        <f>"1937"</f>
        <v>1937</v>
      </c>
      <c r="E457" t="s">
        <v>826</v>
      </c>
    </row>
    <row r="458" spans="1:5" x14ac:dyDescent="0.25">
      <c r="A458" t="str">
        <f t="shared" si="24"/>
        <v>32361</v>
      </c>
      <c r="B458" t="s">
        <v>1339</v>
      </c>
      <c r="C458" t="s">
        <v>1341</v>
      </c>
      <c r="D458" t="str">
        <f>"1712"</f>
        <v>1712</v>
      </c>
      <c r="E458" t="s">
        <v>821</v>
      </c>
    </row>
    <row r="459" spans="1:5" x14ac:dyDescent="0.25">
      <c r="A459" t="str">
        <f t="shared" si="24"/>
        <v>32361</v>
      </c>
      <c r="B459" t="s">
        <v>1339</v>
      </c>
      <c r="C459" t="s">
        <v>1342</v>
      </c>
      <c r="D459" t="str">
        <f>"4097"</f>
        <v>4097</v>
      </c>
      <c r="E459" t="s">
        <v>818</v>
      </c>
    </row>
    <row r="460" spans="1:5" x14ac:dyDescent="0.25">
      <c r="A460" t="str">
        <f t="shared" si="24"/>
        <v>32361</v>
      </c>
      <c r="B460" t="s">
        <v>1339</v>
      </c>
      <c r="C460" t="s">
        <v>1343</v>
      </c>
      <c r="D460" t="str">
        <f>"3360"</f>
        <v>3360</v>
      </c>
      <c r="E460" t="s">
        <v>824</v>
      </c>
    </row>
    <row r="461" spans="1:5" x14ac:dyDescent="0.25">
      <c r="A461" t="str">
        <f t="shared" si="24"/>
        <v>32361</v>
      </c>
      <c r="B461" t="s">
        <v>1339</v>
      </c>
      <c r="C461" t="s">
        <v>1344</v>
      </c>
      <c r="D461" t="str">
        <f>"5346"</f>
        <v>5346</v>
      </c>
      <c r="E461" t="s">
        <v>830</v>
      </c>
    </row>
    <row r="462" spans="1:5" x14ac:dyDescent="0.25">
      <c r="A462" t="str">
        <f t="shared" si="24"/>
        <v>32361</v>
      </c>
      <c r="B462" t="s">
        <v>1339</v>
      </c>
      <c r="C462" t="s">
        <v>1345</v>
      </c>
      <c r="D462" t="str">
        <f>"5432"</f>
        <v>5432</v>
      </c>
      <c r="E462" t="s">
        <v>859</v>
      </c>
    </row>
    <row r="463" spans="1:5" x14ac:dyDescent="0.25">
      <c r="A463" t="str">
        <f t="shared" si="24"/>
        <v>32361</v>
      </c>
      <c r="B463" t="s">
        <v>1339</v>
      </c>
      <c r="C463" t="s">
        <v>1346</v>
      </c>
      <c r="D463" t="str">
        <f>"5433"</f>
        <v>5433</v>
      </c>
      <c r="E463" t="s">
        <v>859</v>
      </c>
    </row>
    <row r="464" spans="1:5" x14ac:dyDescent="0.25">
      <c r="A464" t="str">
        <f t="shared" si="24"/>
        <v>32361</v>
      </c>
      <c r="B464" t="s">
        <v>1339</v>
      </c>
      <c r="C464" t="s">
        <v>1347</v>
      </c>
      <c r="D464" t="str">
        <f>"2955"</f>
        <v>2955</v>
      </c>
      <c r="E464" t="s">
        <v>818</v>
      </c>
    </row>
    <row r="465" spans="1:5" x14ac:dyDescent="0.25">
      <c r="A465" t="str">
        <f t="shared" si="24"/>
        <v>32361</v>
      </c>
      <c r="B465" t="s">
        <v>1339</v>
      </c>
      <c r="C465" t="s">
        <v>1348</v>
      </c>
      <c r="D465" t="str">
        <f>"2653"</f>
        <v>2653</v>
      </c>
      <c r="E465" t="s">
        <v>818</v>
      </c>
    </row>
    <row r="466" spans="1:5" x14ac:dyDescent="0.25">
      <c r="A466" t="str">
        <f t="shared" si="24"/>
        <v>32361</v>
      </c>
      <c r="B466" t="s">
        <v>1339</v>
      </c>
      <c r="C466" t="s">
        <v>1349</v>
      </c>
      <c r="D466" t="str">
        <f>"3128"</f>
        <v>3128</v>
      </c>
      <c r="E466" t="s">
        <v>818</v>
      </c>
    </row>
    <row r="467" spans="1:5" x14ac:dyDescent="0.25">
      <c r="A467" t="str">
        <f>"39090"</f>
        <v>39090</v>
      </c>
      <c r="B467" t="s">
        <v>1350</v>
      </c>
      <c r="C467" t="s">
        <v>1351</v>
      </c>
      <c r="D467" t="str">
        <f>"4055"</f>
        <v>4055</v>
      </c>
      <c r="E467" t="s">
        <v>830</v>
      </c>
    </row>
    <row r="468" spans="1:5" x14ac:dyDescent="0.25">
      <c r="A468" t="str">
        <f>"39090"</f>
        <v>39090</v>
      </c>
      <c r="B468" t="s">
        <v>1350</v>
      </c>
      <c r="C468" t="s">
        <v>1352</v>
      </c>
      <c r="D468" t="str">
        <f>"4487"</f>
        <v>4487</v>
      </c>
      <c r="E468" t="s">
        <v>818</v>
      </c>
    </row>
    <row r="469" spans="1:5" x14ac:dyDescent="0.25">
      <c r="A469" t="str">
        <f>"39090"</f>
        <v>39090</v>
      </c>
      <c r="B469" t="s">
        <v>1350</v>
      </c>
      <c r="C469" t="s">
        <v>1343</v>
      </c>
      <c r="D469" t="str">
        <f>"2344"</f>
        <v>2344</v>
      </c>
      <c r="E469" t="s">
        <v>824</v>
      </c>
    </row>
    <row r="470" spans="1:5" x14ac:dyDescent="0.25">
      <c r="A470" t="str">
        <f>"39090"</f>
        <v>39090</v>
      </c>
      <c r="B470" t="s">
        <v>1350</v>
      </c>
      <c r="C470" t="s">
        <v>1353</v>
      </c>
      <c r="D470" t="str">
        <f>"2530"</f>
        <v>2530</v>
      </c>
      <c r="E470" t="s">
        <v>818</v>
      </c>
    </row>
    <row r="471" spans="1:5" x14ac:dyDescent="0.25">
      <c r="A471" t="str">
        <f>"39090"</f>
        <v>39090</v>
      </c>
      <c r="B471" t="s">
        <v>1350</v>
      </c>
      <c r="C471" t="s">
        <v>1354</v>
      </c>
      <c r="D471" t="str">
        <f>"2821"</f>
        <v>2821</v>
      </c>
      <c r="E471" t="s">
        <v>818</v>
      </c>
    </row>
    <row r="472" spans="1:5" x14ac:dyDescent="0.25">
      <c r="A472" t="str">
        <f t="shared" ref="A472:A482" si="25">"09206"</f>
        <v>09206</v>
      </c>
      <c r="B472" t="s">
        <v>1355</v>
      </c>
      <c r="C472" t="s">
        <v>1356</v>
      </c>
      <c r="D472" t="str">
        <f>"2986"</f>
        <v>2986</v>
      </c>
      <c r="E472" t="s">
        <v>824</v>
      </c>
    </row>
    <row r="473" spans="1:5" x14ac:dyDescent="0.25">
      <c r="A473" t="str">
        <f t="shared" si="25"/>
        <v>09206</v>
      </c>
      <c r="B473" t="s">
        <v>1355</v>
      </c>
      <c r="C473" t="s">
        <v>1357</v>
      </c>
      <c r="D473" t="str">
        <f>"3659"</f>
        <v>3659</v>
      </c>
      <c r="E473" t="s">
        <v>818</v>
      </c>
    </row>
    <row r="474" spans="1:5" x14ac:dyDescent="0.25">
      <c r="A474" t="str">
        <f t="shared" si="25"/>
        <v>09206</v>
      </c>
      <c r="B474" t="s">
        <v>1355</v>
      </c>
      <c r="C474" t="s">
        <v>1358</v>
      </c>
      <c r="D474" t="str">
        <f>"4590"</f>
        <v>4590</v>
      </c>
      <c r="E474" t="s">
        <v>830</v>
      </c>
    </row>
    <row r="475" spans="1:5" x14ac:dyDescent="0.25">
      <c r="A475" t="str">
        <f t="shared" si="25"/>
        <v>09206</v>
      </c>
      <c r="B475" t="s">
        <v>1355</v>
      </c>
      <c r="C475" t="s">
        <v>1359</v>
      </c>
      <c r="D475" t="str">
        <f>"3372"</f>
        <v>3372</v>
      </c>
      <c r="E475" t="s">
        <v>824</v>
      </c>
    </row>
    <row r="476" spans="1:5" x14ac:dyDescent="0.25">
      <c r="A476" t="str">
        <f t="shared" si="25"/>
        <v>09206</v>
      </c>
      <c r="B476" t="s">
        <v>1355</v>
      </c>
      <c r="C476" t="s">
        <v>1360</v>
      </c>
      <c r="D476" t="str">
        <f>"5130"</f>
        <v>5130</v>
      </c>
      <c r="E476" t="s">
        <v>826</v>
      </c>
    </row>
    <row r="477" spans="1:5" x14ac:dyDescent="0.25">
      <c r="A477" t="str">
        <f t="shared" si="25"/>
        <v>09206</v>
      </c>
      <c r="B477" t="s">
        <v>1355</v>
      </c>
      <c r="C477" t="s">
        <v>1361</v>
      </c>
      <c r="D477" t="str">
        <f>"2727"</f>
        <v>2727</v>
      </c>
      <c r="E477" t="s">
        <v>824</v>
      </c>
    </row>
    <row r="478" spans="1:5" x14ac:dyDescent="0.25">
      <c r="A478" t="str">
        <f t="shared" si="25"/>
        <v>09206</v>
      </c>
      <c r="B478" t="s">
        <v>1355</v>
      </c>
      <c r="C478" t="s">
        <v>1362</v>
      </c>
      <c r="D478" t="str">
        <f>"2966"</f>
        <v>2966</v>
      </c>
      <c r="E478" t="s">
        <v>818</v>
      </c>
    </row>
    <row r="479" spans="1:5" x14ac:dyDescent="0.25">
      <c r="A479" t="str">
        <f t="shared" si="25"/>
        <v>09206</v>
      </c>
      <c r="B479" t="s">
        <v>1355</v>
      </c>
      <c r="C479" t="s">
        <v>1363</v>
      </c>
      <c r="D479" t="str">
        <f>"3212"</f>
        <v>3212</v>
      </c>
      <c r="E479" t="s">
        <v>818</v>
      </c>
    </row>
    <row r="480" spans="1:5" x14ac:dyDescent="0.25">
      <c r="A480" t="str">
        <f t="shared" si="25"/>
        <v>09206</v>
      </c>
      <c r="B480" t="s">
        <v>1355</v>
      </c>
      <c r="C480" t="s">
        <v>1364</v>
      </c>
      <c r="D480" t="str">
        <f>"3083"</f>
        <v>3083</v>
      </c>
      <c r="E480" t="s">
        <v>818</v>
      </c>
    </row>
    <row r="481" spans="1:5" x14ac:dyDescent="0.25">
      <c r="A481" t="str">
        <f t="shared" si="25"/>
        <v>09206</v>
      </c>
      <c r="B481" t="s">
        <v>1355</v>
      </c>
      <c r="C481" t="s">
        <v>1365</v>
      </c>
      <c r="D481" t="str">
        <f>"2563"</f>
        <v>2563</v>
      </c>
      <c r="E481" t="s">
        <v>818</v>
      </c>
    </row>
    <row r="482" spans="1:5" x14ac:dyDescent="0.25">
      <c r="A482" t="str">
        <f t="shared" si="25"/>
        <v>09206</v>
      </c>
      <c r="B482" t="s">
        <v>1355</v>
      </c>
      <c r="C482" t="s">
        <v>1366</v>
      </c>
      <c r="D482" t="str">
        <f>"4095"</f>
        <v>4095</v>
      </c>
      <c r="E482" t="s">
        <v>821</v>
      </c>
    </row>
    <row r="483" spans="1:5" x14ac:dyDescent="0.25">
      <c r="A483" t="str">
        <f>"19028"</f>
        <v>19028</v>
      </c>
      <c r="B483" t="s">
        <v>1367</v>
      </c>
      <c r="C483" t="s">
        <v>1368</v>
      </c>
      <c r="D483" t="str">
        <f>"3554"</f>
        <v>3554</v>
      </c>
      <c r="E483" t="s">
        <v>859</v>
      </c>
    </row>
    <row r="484" spans="1:5" x14ac:dyDescent="0.25">
      <c r="A484" t="str">
        <f>"19028"</f>
        <v>19028</v>
      </c>
      <c r="B484" t="s">
        <v>1367</v>
      </c>
      <c r="C484" t="s">
        <v>1369</v>
      </c>
      <c r="D484" t="str">
        <f>"5242"</f>
        <v>5242</v>
      </c>
      <c r="E484" t="s">
        <v>821</v>
      </c>
    </row>
    <row r="485" spans="1:5" x14ac:dyDescent="0.25">
      <c r="A485" t="str">
        <f t="shared" ref="A485:A493" si="26">"27404"</f>
        <v>27404</v>
      </c>
      <c r="B485" t="s">
        <v>1370</v>
      </c>
      <c r="C485" t="s">
        <v>1371</v>
      </c>
      <c r="D485" t="str">
        <f>"2808"</f>
        <v>2808</v>
      </c>
      <c r="E485" t="s">
        <v>821</v>
      </c>
    </row>
    <row r="486" spans="1:5" x14ac:dyDescent="0.25">
      <c r="A486" t="str">
        <f t="shared" si="26"/>
        <v>27404</v>
      </c>
      <c r="B486" t="s">
        <v>1370</v>
      </c>
      <c r="C486" t="s">
        <v>1372</v>
      </c>
      <c r="D486" t="str">
        <f>"5079"</f>
        <v>5079</v>
      </c>
      <c r="E486" t="s">
        <v>826</v>
      </c>
    </row>
    <row r="487" spans="1:5" x14ac:dyDescent="0.25">
      <c r="A487" t="str">
        <f t="shared" si="26"/>
        <v>27404</v>
      </c>
      <c r="B487" t="s">
        <v>1370</v>
      </c>
      <c r="C487" t="s">
        <v>1373</v>
      </c>
      <c r="D487" t="str">
        <f>"2205"</f>
        <v>2205</v>
      </c>
      <c r="E487" t="s">
        <v>818</v>
      </c>
    </row>
    <row r="488" spans="1:5" x14ac:dyDescent="0.25">
      <c r="A488" t="str">
        <f t="shared" si="26"/>
        <v>27404</v>
      </c>
      <c r="B488" t="s">
        <v>1370</v>
      </c>
      <c r="C488" t="s">
        <v>1374</v>
      </c>
      <c r="D488" t="str">
        <f>"2206"</f>
        <v>2206</v>
      </c>
      <c r="E488" t="s">
        <v>824</v>
      </c>
    </row>
    <row r="489" spans="1:5" x14ac:dyDescent="0.25">
      <c r="A489" t="str">
        <f t="shared" si="26"/>
        <v>27404</v>
      </c>
      <c r="B489" t="s">
        <v>1370</v>
      </c>
      <c r="C489" t="s">
        <v>1375</v>
      </c>
      <c r="D489" t="str">
        <f>"4230"</f>
        <v>4230</v>
      </c>
      <c r="E489" t="s">
        <v>830</v>
      </c>
    </row>
    <row r="490" spans="1:5" x14ac:dyDescent="0.25">
      <c r="A490" t="str">
        <f t="shared" si="26"/>
        <v>27404</v>
      </c>
      <c r="B490" t="s">
        <v>1370</v>
      </c>
      <c r="C490" t="s">
        <v>1376</v>
      </c>
      <c r="D490" t="str">
        <f>"5531"</f>
        <v>5531</v>
      </c>
      <c r="E490" t="s">
        <v>830</v>
      </c>
    </row>
    <row r="491" spans="1:5" x14ac:dyDescent="0.25">
      <c r="A491" t="str">
        <f t="shared" si="26"/>
        <v>27404</v>
      </c>
      <c r="B491" t="s">
        <v>1370</v>
      </c>
      <c r="C491" t="s">
        <v>1377</v>
      </c>
      <c r="D491" t="str">
        <f>"5300"</f>
        <v>5300</v>
      </c>
      <c r="E491" t="s">
        <v>821</v>
      </c>
    </row>
    <row r="492" spans="1:5" x14ac:dyDescent="0.25">
      <c r="A492" t="str">
        <f t="shared" si="26"/>
        <v>27404</v>
      </c>
      <c r="B492" t="s">
        <v>1370</v>
      </c>
      <c r="C492" t="s">
        <v>1378</v>
      </c>
      <c r="D492" t="str">
        <f>"5332"</f>
        <v>5332</v>
      </c>
      <c r="E492" t="s">
        <v>824</v>
      </c>
    </row>
    <row r="493" spans="1:5" x14ac:dyDescent="0.25">
      <c r="A493" t="str">
        <f t="shared" si="26"/>
        <v>27404</v>
      </c>
      <c r="B493" t="s">
        <v>1370</v>
      </c>
      <c r="C493" t="s">
        <v>1379</v>
      </c>
      <c r="D493" t="str">
        <f>"2361"</f>
        <v>2361</v>
      </c>
      <c r="E493" t="s">
        <v>818</v>
      </c>
    </row>
    <row r="494" spans="1:5" x14ac:dyDescent="0.25">
      <c r="A494" t="str">
        <f t="shared" ref="A494:A531" si="27">"31015"</f>
        <v>31015</v>
      </c>
      <c r="B494" t="s">
        <v>1380</v>
      </c>
      <c r="C494" t="s">
        <v>1381</v>
      </c>
      <c r="D494" t="str">
        <f>"3560"</f>
        <v>3560</v>
      </c>
      <c r="E494" t="s">
        <v>830</v>
      </c>
    </row>
    <row r="495" spans="1:5" x14ac:dyDescent="0.25">
      <c r="A495" t="str">
        <f t="shared" si="27"/>
        <v>31015</v>
      </c>
      <c r="B495" t="s">
        <v>1380</v>
      </c>
      <c r="C495" t="s">
        <v>1382</v>
      </c>
      <c r="D495" t="str">
        <f>"3302"</f>
        <v>3302</v>
      </c>
      <c r="E495" t="s">
        <v>818</v>
      </c>
    </row>
    <row r="496" spans="1:5" x14ac:dyDescent="0.25">
      <c r="A496" t="str">
        <f t="shared" si="27"/>
        <v>31015</v>
      </c>
      <c r="B496" t="s">
        <v>1380</v>
      </c>
      <c r="C496" t="s">
        <v>1383</v>
      </c>
      <c r="D496" t="str">
        <f>"3536"</f>
        <v>3536</v>
      </c>
      <c r="E496" t="s">
        <v>818</v>
      </c>
    </row>
    <row r="497" spans="1:5" x14ac:dyDescent="0.25">
      <c r="A497" t="str">
        <f t="shared" si="27"/>
        <v>31015</v>
      </c>
      <c r="B497" t="s">
        <v>1380</v>
      </c>
      <c r="C497" t="s">
        <v>1384</v>
      </c>
      <c r="D497" t="str">
        <f>"3650"</f>
        <v>3650</v>
      </c>
      <c r="E497" t="s">
        <v>830</v>
      </c>
    </row>
    <row r="498" spans="1:5" x14ac:dyDescent="0.25">
      <c r="A498" t="str">
        <f t="shared" si="27"/>
        <v>31015</v>
      </c>
      <c r="B498" t="s">
        <v>1380</v>
      </c>
      <c r="C498" t="s">
        <v>1385</v>
      </c>
      <c r="D498" t="str">
        <f>"3409"</f>
        <v>3409</v>
      </c>
      <c r="E498" t="s">
        <v>818</v>
      </c>
    </row>
    <row r="499" spans="1:5" x14ac:dyDescent="0.25">
      <c r="A499" t="str">
        <f t="shared" si="27"/>
        <v>31015</v>
      </c>
      <c r="B499" t="s">
        <v>1380</v>
      </c>
      <c r="C499" t="s">
        <v>1386</v>
      </c>
      <c r="D499" t="str">
        <f>"3304"</f>
        <v>3304</v>
      </c>
      <c r="E499" t="s">
        <v>818</v>
      </c>
    </row>
    <row r="500" spans="1:5" x14ac:dyDescent="0.25">
      <c r="A500" t="str">
        <f t="shared" si="27"/>
        <v>31015</v>
      </c>
      <c r="B500" t="s">
        <v>1380</v>
      </c>
      <c r="C500" t="s">
        <v>1387</v>
      </c>
      <c r="D500" t="str">
        <f>"1520"</f>
        <v>1520</v>
      </c>
      <c r="E500" t="s">
        <v>818</v>
      </c>
    </row>
    <row r="501" spans="1:5" x14ac:dyDescent="0.25">
      <c r="A501" t="str">
        <f t="shared" si="27"/>
        <v>31015</v>
      </c>
      <c r="B501" t="s">
        <v>1380</v>
      </c>
      <c r="C501" t="s">
        <v>1388</v>
      </c>
      <c r="D501" t="str">
        <f>"3534"</f>
        <v>3534</v>
      </c>
      <c r="E501" t="s">
        <v>818</v>
      </c>
    </row>
    <row r="502" spans="1:5" x14ac:dyDescent="0.25">
      <c r="A502" t="str">
        <f t="shared" si="27"/>
        <v>31015</v>
      </c>
      <c r="B502" t="s">
        <v>1380</v>
      </c>
      <c r="C502" t="s">
        <v>1389</v>
      </c>
      <c r="D502" t="str">
        <f>"3691"</f>
        <v>3691</v>
      </c>
      <c r="E502" t="s">
        <v>818</v>
      </c>
    </row>
    <row r="503" spans="1:5" x14ac:dyDescent="0.25">
      <c r="A503" t="str">
        <f t="shared" si="27"/>
        <v>31015</v>
      </c>
      <c r="B503" t="s">
        <v>1380</v>
      </c>
      <c r="C503" t="s">
        <v>1390</v>
      </c>
      <c r="D503" t="str">
        <f>"3754"</f>
        <v>3754</v>
      </c>
      <c r="E503" t="s">
        <v>830</v>
      </c>
    </row>
    <row r="504" spans="1:5" x14ac:dyDescent="0.25">
      <c r="A504" t="str">
        <f t="shared" si="27"/>
        <v>31015</v>
      </c>
      <c r="B504" t="s">
        <v>1380</v>
      </c>
      <c r="C504" t="s">
        <v>1391</v>
      </c>
      <c r="D504" t="str">
        <f>"1830"</f>
        <v>1830</v>
      </c>
      <c r="E504" t="s">
        <v>851</v>
      </c>
    </row>
    <row r="505" spans="1:5" x14ac:dyDescent="0.25">
      <c r="A505" t="str">
        <f t="shared" si="27"/>
        <v>31015</v>
      </c>
      <c r="B505" t="s">
        <v>1380</v>
      </c>
      <c r="C505" t="s">
        <v>1392</v>
      </c>
      <c r="D505" t="str">
        <f>"3185"</f>
        <v>3185</v>
      </c>
      <c r="E505" t="s">
        <v>818</v>
      </c>
    </row>
    <row r="506" spans="1:5" x14ac:dyDescent="0.25">
      <c r="A506" t="str">
        <f t="shared" si="27"/>
        <v>31015</v>
      </c>
      <c r="B506" t="s">
        <v>1380</v>
      </c>
      <c r="C506" t="s">
        <v>1393</v>
      </c>
      <c r="D506" t="str">
        <f>"5358"</f>
        <v>5358</v>
      </c>
      <c r="E506" t="s">
        <v>824</v>
      </c>
    </row>
    <row r="507" spans="1:5" x14ac:dyDescent="0.25">
      <c r="A507" t="str">
        <f t="shared" si="27"/>
        <v>31015</v>
      </c>
      <c r="B507" t="s">
        <v>1380</v>
      </c>
      <c r="C507" t="s">
        <v>1394</v>
      </c>
      <c r="D507" t="str">
        <f>"1519"</f>
        <v>1519</v>
      </c>
      <c r="E507" t="s">
        <v>824</v>
      </c>
    </row>
    <row r="508" spans="1:5" x14ac:dyDescent="0.25">
      <c r="A508" t="str">
        <f t="shared" si="27"/>
        <v>31015</v>
      </c>
      <c r="B508" t="s">
        <v>1380</v>
      </c>
      <c r="C508" t="s">
        <v>1395</v>
      </c>
      <c r="D508" t="str">
        <f>"3606"</f>
        <v>3606</v>
      </c>
      <c r="E508" t="s">
        <v>818</v>
      </c>
    </row>
    <row r="509" spans="1:5" x14ac:dyDescent="0.25">
      <c r="A509" t="str">
        <f t="shared" si="27"/>
        <v>31015</v>
      </c>
      <c r="B509" t="s">
        <v>1380</v>
      </c>
      <c r="C509" t="s">
        <v>1396</v>
      </c>
      <c r="D509" t="str">
        <f>"1966"</f>
        <v>1966</v>
      </c>
      <c r="E509" t="s">
        <v>859</v>
      </c>
    </row>
    <row r="510" spans="1:5" x14ac:dyDescent="0.25">
      <c r="A510" t="str">
        <f t="shared" si="27"/>
        <v>31015</v>
      </c>
      <c r="B510" t="s">
        <v>1380</v>
      </c>
      <c r="C510" t="s">
        <v>1397</v>
      </c>
      <c r="D510" t="str">
        <f>"3123"</f>
        <v>3123</v>
      </c>
      <c r="E510" t="s">
        <v>824</v>
      </c>
    </row>
    <row r="511" spans="1:5" x14ac:dyDescent="0.25">
      <c r="A511" t="str">
        <f t="shared" si="27"/>
        <v>31015</v>
      </c>
      <c r="B511" t="s">
        <v>1380</v>
      </c>
      <c r="C511" t="s">
        <v>1398</v>
      </c>
      <c r="D511" t="str">
        <f>"3607"</f>
        <v>3607</v>
      </c>
      <c r="E511" t="s">
        <v>818</v>
      </c>
    </row>
    <row r="512" spans="1:5" x14ac:dyDescent="0.25">
      <c r="A512" t="str">
        <f t="shared" si="27"/>
        <v>31015</v>
      </c>
      <c r="B512" t="s">
        <v>1380</v>
      </c>
      <c r="C512" t="s">
        <v>1399</v>
      </c>
      <c r="D512" t="str">
        <f>"3689"</f>
        <v>3689</v>
      </c>
      <c r="E512" t="s">
        <v>818</v>
      </c>
    </row>
    <row r="513" spans="1:5" x14ac:dyDescent="0.25">
      <c r="A513" t="str">
        <f t="shared" si="27"/>
        <v>31015</v>
      </c>
      <c r="B513" t="s">
        <v>1380</v>
      </c>
      <c r="C513" t="s">
        <v>1400</v>
      </c>
      <c r="D513" t="str">
        <f>"3122"</f>
        <v>3122</v>
      </c>
      <c r="E513" t="s">
        <v>818</v>
      </c>
    </row>
    <row r="514" spans="1:5" x14ac:dyDescent="0.25">
      <c r="A514" t="str">
        <f t="shared" si="27"/>
        <v>31015</v>
      </c>
      <c r="B514" t="s">
        <v>1380</v>
      </c>
      <c r="C514" t="s">
        <v>1401</v>
      </c>
      <c r="D514" t="str">
        <f>"3503"</f>
        <v>3503</v>
      </c>
      <c r="E514" t="s">
        <v>818</v>
      </c>
    </row>
    <row r="515" spans="1:5" x14ac:dyDescent="0.25">
      <c r="A515" t="str">
        <f t="shared" si="27"/>
        <v>31015</v>
      </c>
      <c r="B515" t="s">
        <v>1380</v>
      </c>
      <c r="C515" t="s">
        <v>1402</v>
      </c>
      <c r="D515" t="str">
        <f>"3755"</f>
        <v>3755</v>
      </c>
      <c r="E515" t="s">
        <v>824</v>
      </c>
    </row>
    <row r="516" spans="1:5" x14ac:dyDescent="0.25">
      <c r="A516" t="str">
        <f t="shared" si="27"/>
        <v>31015</v>
      </c>
      <c r="B516" t="s">
        <v>1380</v>
      </c>
      <c r="C516" t="s">
        <v>1403</v>
      </c>
      <c r="D516" t="str">
        <f>"3463"</f>
        <v>3463</v>
      </c>
      <c r="E516" t="s">
        <v>821</v>
      </c>
    </row>
    <row r="517" spans="1:5" x14ac:dyDescent="0.25">
      <c r="A517" t="str">
        <f t="shared" si="27"/>
        <v>31015</v>
      </c>
      <c r="B517" t="s">
        <v>1380</v>
      </c>
      <c r="C517" t="s">
        <v>1404</v>
      </c>
      <c r="D517" t="str">
        <f>"1685"</f>
        <v>1685</v>
      </c>
      <c r="E517" t="s">
        <v>821</v>
      </c>
    </row>
    <row r="518" spans="1:5" x14ac:dyDescent="0.25">
      <c r="A518" t="str">
        <f t="shared" si="27"/>
        <v>31015</v>
      </c>
      <c r="B518" t="s">
        <v>1380</v>
      </c>
      <c r="C518" t="s">
        <v>1405</v>
      </c>
      <c r="D518" t="str">
        <f>"2887"</f>
        <v>2887</v>
      </c>
      <c r="E518" t="s">
        <v>818</v>
      </c>
    </row>
    <row r="519" spans="1:5" x14ac:dyDescent="0.25">
      <c r="A519" t="str">
        <f t="shared" si="27"/>
        <v>31015</v>
      </c>
      <c r="B519" t="s">
        <v>1380</v>
      </c>
      <c r="C519" t="s">
        <v>1406</v>
      </c>
      <c r="D519" t="str">
        <f>"3504"</f>
        <v>3504</v>
      </c>
      <c r="E519" t="s">
        <v>818</v>
      </c>
    </row>
    <row r="520" spans="1:5" x14ac:dyDescent="0.25">
      <c r="A520" t="str">
        <f t="shared" si="27"/>
        <v>31015</v>
      </c>
      <c r="B520" t="s">
        <v>1380</v>
      </c>
      <c r="C520" t="s">
        <v>1407</v>
      </c>
      <c r="D520" t="str">
        <f>"3464"</f>
        <v>3464</v>
      </c>
      <c r="E520" t="s">
        <v>824</v>
      </c>
    </row>
    <row r="521" spans="1:5" x14ac:dyDescent="0.25">
      <c r="A521" t="str">
        <f t="shared" si="27"/>
        <v>31015</v>
      </c>
      <c r="B521" t="s">
        <v>1380</v>
      </c>
      <c r="C521" t="s">
        <v>1408</v>
      </c>
      <c r="D521" t="str">
        <f>"3353"</f>
        <v>3353</v>
      </c>
      <c r="E521" t="s">
        <v>830</v>
      </c>
    </row>
    <row r="522" spans="1:5" x14ac:dyDescent="0.25">
      <c r="A522" t="str">
        <f t="shared" si="27"/>
        <v>31015</v>
      </c>
      <c r="B522" t="s">
        <v>1380</v>
      </c>
      <c r="C522" t="s">
        <v>1409</v>
      </c>
      <c r="D522" t="str">
        <f>"3254"</f>
        <v>3254</v>
      </c>
      <c r="E522" t="s">
        <v>818</v>
      </c>
    </row>
    <row r="523" spans="1:5" x14ac:dyDescent="0.25">
      <c r="A523" t="str">
        <f t="shared" si="27"/>
        <v>31015</v>
      </c>
      <c r="B523" t="s">
        <v>1380</v>
      </c>
      <c r="C523" t="s">
        <v>1410</v>
      </c>
      <c r="D523" t="str">
        <f>"3303"</f>
        <v>3303</v>
      </c>
      <c r="E523" t="s">
        <v>824</v>
      </c>
    </row>
    <row r="524" spans="1:5" x14ac:dyDescent="0.25">
      <c r="A524" t="str">
        <f t="shared" si="27"/>
        <v>31015</v>
      </c>
      <c r="B524" t="s">
        <v>1380</v>
      </c>
      <c r="C524" t="s">
        <v>1411</v>
      </c>
      <c r="D524" t="str">
        <f>"3608"</f>
        <v>3608</v>
      </c>
      <c r="E524" t="s">
        <v>818</v>
      </c>
    </row>
    <row r="525" spans="1:5" x14ac:dyDescent="0.25">
      <c r="A525" t="str">
        <f t="shared" si="27"/>
        <v>31015</v>
      </c>
      <c r="B525" t="s">
        <v>1380</v>
      </c>
      <c r="C525" t="s">
        <v>1412</v>
      </c>
      <c r="D525" t="str">
        <f>"3854"</f>
        <v>3854</v>
      </c>
      <c r="E525" t="s">
        <v>824</v>
      </c>
    </row>
    <row r="526" spans="1:5" x14ac:dyDescent="0.25">
      <c r="A526" t="str">
        <f t="shared" si="27"/>
        <v>31015</v>
      </c>
      <c r="B526" t="s">
        <v>1380</v>
      </c>
      <c r="C526" t="s">
        <v>1413</v>
      </c>
      <c r="D526" t="str">
        <f>"3461"</f>
        <v>3461</v>
      </c>
      <c r="E526" t="s">
        <v>818</v>
      </c>
    </row>
    <row r="527" spans="1:5" x14ac:dyDescent="0.25">
      <c r="A527" t="str">
        <f t="shared" si="27"/>
        <v>31015</v>
      </c>
      <c r="B527" t="s">
        <v>1380</v>
      </c>
      <c r="C527" t="s">
        <v>1414</v>
      </c>
      <c r="D527" t="str">
        <f>"3605"</f>
        <v>3605</v>
      </c>
      <c r="E527" t="s">
        <v>818</v>
      </c>
    </row>
    <row r="528" spans="1:5" x14ac:dyDescent="0.25">
      <c r="A528" t="str">
        <f t="shared" si="27"/>
        <v>31015</v>
      </c>
      <c r="B528" t="s">
        <v>1380</v>
      </c>
      <c r="C528" t="s">
        <v>1415</v>
      </c>
      <c r="D528" t="str">
        <f>"3410"</f>
        <v>3410</v>
      </c>
      <c r="E528" t="s">
        <v>818</v>
      </c>
    </row>
    <row r="529" spans="1:5" x14ac:dyDescent="0.25">
      <c r="A529" t="str">
        <f t="shared" si="27"/>
        <v>31015</v>
      </c>
      <c r="B529" t="s">
        <v>1380</v>
      </c>
      <c r="C529" t="s">
        <v>1416</v>
      </c>
      <c r="D529" t="str">
        <f>"2888"</f>
        <v>2888</v>
      </c>
      <c r="E529" t="s">
        <v>818</v>
      </c>
    </row>
    <row r="530" spans="1:5" x14ac:dyDescent="0.25">
      <c r="A530" t="str">
        <f t="shared" si="27"/>
        <v>31015</v>
      </c>
      <c r="B530" t="s">
        <v>1380</v>
      </c>
      <c r="C530" t="s">
        <v>1417</v>
      </c>
      <c r="D530" t="str">
        <f>"1558"</f>
        <v>1558</v>
      </c>
      <c r="E530" t="s">
        <v>821</v>
      </c>
    </row>
    <row r="531" spans="1:5" x14ac:dyDescent="0.25">
      <c r="A531" t="str">
        <f t="shared" si="27"/>
        <v>31015</v>
      </c>
      <c r="B531" t="s">
        <v>1380</v>
      </c>
      <c r="C531" t="s">
        <v>1418</v>
      </c>
      <c r="D531" t="str">
        <f>"3186"</f>
        <v>3186</v>
      </c>
      <c r="E531" t="s">
        <v>818</v>
      </c>
    </row>
    <row r="532" spans="1:5" x14ac:dyDescent="0.25">
      <c r="A532" t="str">
        <f>"32801"</f>
        <v>32801</v>
      </c>
      <c r="B532" t="s">
        <v>1419</v>
      </c>
      <c r="C532" t="s">
        <v>1420</v>
      </c>
      <c r="D532" t="str">
        <f>"3352"</f>
        <v>3352</v>
      </c>
      <c r="E532" t="s">
        <v>824</v>
      </c>
    </row>
    <row r="533" spans="1:5" x14ac:dyDescent="0.25">
      <c r="A533" t="str">
        <f>"32801"</f>
        <v>32801</v>
      </c>
      <c r="B533" t="s">
        <v>1419</v>
      </c>
      <c r="C533" t="s">
        <v>1421</v>
      </c>
      <c r="D533" t="str">
        <f>"5434"</f>
        <v>5434</v>
      </c>
      <c r="E533" t="s">
        <v>824</v>
      </c>
    </row>
    <row r="534" spans="1:5" x14ac:dyDescent="0.25">
      <c r="A534" t="str">
        <f>"32801"</f>
        <v>32801</v>
      </c>
      <c r="B534" t="s">
        <v>1419</v>
      </c>
      <c r="C534" t="s">
        <v>1422</v>
      </c>
      <c r="D534" t="str">
        <f>"3526"</f>
        <v>3526</v>
      </c>
      <c r="E534" t="s">
        <v>821</v>
      </c>
    </row>
    <row r="535" spans="1:5" x14ac:dyDescent="0.25">
      <c r="A535" t="str">
        <f>"32801"</f>
        <v>32801</v>
      </c>
      <c r="B535" t="s">
        <v>1419</v>
      </c>
      <c r="C535" t="s">
        <v>1423</v>
      </c>
      <c r="D535" t="str">
        <f>"3507"</f>
        <v>3507</v>
      </c>
      <c r="E535" t="s">
        <v>824</v>
      </c>
    </row>
    <row r="536" spans="1:5" x14ac:dyDescent="0.25">
      <c r="A536" t="str">
        <f>"06801"</f>
        <v>06801</v>
      </c>
      <c r="B536" t="s">
        <v>1424</v>
      </c>
      <c r="C536" t="s">
        <v>1425</v>
      </c>
      <c r="D536" t="str">
        <f>"5290"</f>
        <v>5290</v>
      </c>
      <c r="E536" t="s">
        <v>821</v>
      </c>
    </row>
    <row r="537" spans="1:5" x14ac:dyDescent="0.25">
      <c r="A537" t="str">
        <f>"06801"</f>
        <v>06801</v>
      </c>
      <c r="B537" t="s">
        <v>1424</v>
      </c>
      <c r="C537" t="s">
        <v>1426</v>
      </c>
      <c r="D537" t="str">
        <f>"3294"</f>
        <v>3294</v>
      </c>
      <c r="E537" t="s">
        <v>821</v>
      </c>
    </row>
    <row r="538" spans="1:5" x14ac:dyDescent="0.25">
      <c r="A538" t="str">
        <f>"06801"</f>
        <v>06801</v>
      </c>
      <c r="B538" t="s">
        <v>1424</v>
      </c>
      <c r="C538" t="s">
        <v>1427</v>
      </c>
      <c r="D538" t="str">
        <f>"5398"</f>
        <v>5398</v>
      </c>
      <c r="E538" t="s">
        <v>824</v>
      </c>
    </row>
    <row r="539" spans="1:5" x14ac:dyDescent="0.25">
      <c r="A539" t="str">
        <f>"11801"</f>
        <v>11801</v>
      </c>
      <c r="B539" t="s">
        <v>1428</v>
      </c>
      <c r="C539" t="s">
        <v>1429</v>
      </c>
      <c r="D539" t="str">
        <f>"5403"</f>
        <v>5403</v>
      </c>
      <c r="E539" t="s">
        <v>824</v>
      </c>
    </row>
    <row r="540" spans="1:5" x14ac:dyDescent="0.25">
      <c r="A540" t="str">
        <f>"11801"</f>
        <v>11801</v>
      </c>
      <c r="B540" t="s">
        <v>1428</v>
      </c>
      <c r="C540" t="s">
        <v>1430</v>
      </c>
      <c r="D540" t="str">
        <f>"3358"</f>
        <v>3358</v>
      </c>
      <c r="E540" t="s">
        <v>824</v>
      </c>
    </row>
    <row r="541" spans="1:5" x14ac:dyDescent="0.25">
      <c r="A541" t="str">
        <f t="shared" ref="A541:A547" si="28">"19401"</f>
        <v>19401</v>
      </c>
      <c r="B541" t="s">
        <v>1431</v>
      </c>
      <c r="C541" t="s">
        <v>1432</v>
      </c>
      <c r="D541" t="str">
        <f>"1924"</f>
        <v>1924</v>
      </c>
      <c r="E541" t="s">
        <v>826</v>
      </c>
    </row>
    <row r="542" spans="1:5" x14ac:dyDescent="0.25">
      <c r="A542" t="str">
        <f t="shared" si="28"/>
        <v>19401</v>
      </c>
      <c r="B542" t="s">
        <v>1431</v>
      </c>
      <c r="C542" t="s">
        <v>1433</v>
      </c>
      <c r="D542" t="str">
        <f>"2996"</f>
        <v>2996</v>
      </c>
      <c r="E542" t="s">
        <v>824</v>
      </c>
    </row>
    <row r="543" spans="1:5" x14ac:dyDescent="0.25">
      <c r="A543" t="str">
        <f t="shared" si="28"/>
        <v>19401</v>
      </c>
      <c r="B543" t="s">
        <v>1431</v>
      </c>
      <c r="C543" t="s">
        <v>1434</v>
      </c>
      <c r="D543" t="str">
        <f>"5097"</f>
        <v>5097</v>
      </c>
      <c r="E543" t="s">
        <v>851</v>
      </c>
    </row>
    <row r="544" spans="1:5" x14ac:dyDescent="0.25">
      <c r="A544" t="str">
        <f t="shared" si="28"/>
        <v>19401</v>
      </c>
      <c r="B544" t="s">
        <v>1431</v>
      </c>
      <c r="C544" t="s">
        <v>1435</v>
      </c>
      <c r="D544" t="str">
        <f>"2741"</f>
        <v>2741</v>
      </c>
      <c r="E544" t="s">
        <v>818</v>
      </c>
    </row>
    <row r="545" spans="1:5" x14ac:dyDescent="0.25">
      <c r="A545" t="str">
        <f t="shared" si="28"/>
        <v>19401</v>
      </c>
      <c r="B545" t="s">
        <v>1431</v>
      </c>
      <c r="C545" t="s">
        <v>1436</v>
      </c>
      <c r="D545" t="str">
        <f>"2453"</f>
        <v>2453</v>
      </c>
      <c r="E545" t="s">
        <v>830</v>
      </c>
    </row>
    <row r="546" spans="1:5" x14ac:dyDescent="0.25">
      <c r="A546" t="str">
        <f t="shared" si="28"/>
        <v>19401</v>
      </c>
      <c r="B546" t="s">
        <v>1431</v>
      </c>
      <c r="C546" t="s">
        <v>1437</v>
      </c>
      <c r="D546" t="str">
        <f>"3596"</f>
        <v>3596</v>
      </c>
      <c r="E546" t="s">
        <v>818</v>
      </c>
    </row>
    <row r="547" spans="1:5" x14ac:dyDescent="0.25">
      <c r="A547" t="str">
        <f t="shared" si="28"/>
        <v>19401</v>
      </c>
      <c r="B547" t="s">
        <v>1431</v>
      </c>
      <c r="C547" t="s">
        <v>1438</v>
      </c>
      <c r="D547" t="str">
        <f>"4411"</f>
        <v>4411</v>
      </c>
      <c r="E547" t="s">
        <v>818</v>
      </c>
    </row>
    <row r="548" spans="1:5" x14ac:dyDescent="0.25">
      <c r="A548" t="str">
        <f>"14068"</f>
        <v>14068</v>
      </c>
      <c r="B548" t="s">
        <v>1439</v>
      </c>
      <c r="C548" t="s">
        <v>1440</v>
      </c>
      <c r="D548" t="str">
        <f>"1629"</f>
        <v>1629</v>
      </c>
      <c r="E548" t="s">
        <v>824</v>
      </c>
    </row>
    <row r="549" spans="1:5" x14ac:dyDescent="0.25">
      <c r="A549" t="str">
        <f>"14068"</f>
        <v>14068</v>
      </c>
      <c r="B549" t="s">
        <v>1439</v>
      </c>
      <c r="C549" t="s">
        <v>1441</v>
      </c>
      <c r="D549" t="str">
        <f>"5416"</f>
        <v>5416</v>
      </c>
      <c r="E549" t="s">
        <v>824</v>
      </c>
    </row>
    <row r="550" spans="1:5" x14ac:dyDescent="0.25">
      <c r="A550" t="str">
        <f>"14068"</f>
        <v>14068</v>
      </c>
      <c r="B550" t="s">
        <v>1439</v>
      </c>
      <c r="C550" t="s">
        <v>1442</v>
      </c>
      <c r="D550" t="str">
        <f>"3217"</f>
        <v>3217</v>
      </c>
      <c r="E550" t="s">
        <v>818</v>
      </c>
    </row>
    <row r="551" spans="1:5" x14ac:dyDescent="0.25">
      <c r="A551" t="str">
        <f>"14068"</f>
        <v>14068</v>
      </c>
      <c r="B551" t="s">
        <v>1439</v>
      </c>
      <c r="C551" t="s">
        <v>1443</v>
      </c>
      <c r="D551" t="str">
        <f>"2137"</f>
        <v>2137</v>
      </c>
      <c r="E551" t="s">
        <v>824</v>
      </c>
    </row>
    <row r="552" spans="1:5" x14ac:dyDescent="0.25">
      <c r="A552" t="str">
        <f>"14068"</f>
        <v>14068</v>
      </c>
      <c r="B552" t="s">
        <v>1439</v>
      </c>
      <c r="C552" t="s">
        <v>1444</v>
      </c>
      <c r="D552" t="str">
        <f>"4245"</f>
        <v>4245</v>
      </c>
      <c r="E552" t="s">
        <v>830</v>
      </c>
    </row>
    <row r="553" spans="1:5" x14ac:dyDescent="0.25">
      <c r="A553" t="str">
        <f>"38308"</f>
        <v>38308</v>
      </c>
      <c r="B553" t="s">
        <v>1445</v>
      </c>
      <c r="C553" t="s">
        <v>1446</v>
      </c>
      <c r="D553" t="str">
        <f>"2207"</f>
        <v>2207</v>
      </c>
      <c r="E553" t="s">
        <v>821</v>
      </c>
    </row>
    <row r="554" spans="1:5" x14ac:dyDescent="0.25">
      <c r="A554" t="str">
        <f>"04127"</f>
        <v>04127</v>
      </c>
      <c r="B554" t="s">
        <v>1447</v>
      </c>
      <c r="C554" t="s">
        <v>1448</v>
      </c>
      <c r="D554" t="str">
        <f>"3317"</f>
        <v>3317</v>
      </c>
      <c r="E554" t="s">
        <v>821</v>
      </c>
    </row>
    <row r="555" spans="1:5" x14ac:dyDescent="0.25">
      <c r="A555" t="str">
        <f>"04127"</f>
        <v>04127</v>
      </c>
      <c r="B555" t="s">
        <v>1447</v>
      </c>
      <c r="C555" t="s">
        <v>1449</v>
      </c>
      <c r="D555" t="str">
        <f>"2688"</f>
        <v>2688</v>
      </c>
      <c r="E555" t="s">
        <v>818</v>
      </c>
    </row>
    <row r="556" spans="1:5" x14ac:dyDescent="0.25">
      <c r="A556" t="str">
        <f t="shared" ref="A556:A565" si="29">"17216"</f>
        <v>17216</v>
      </c>
      <c r="B556" t="s">
        <v>1450</v>
      </c>
      <c r="C556" t="s">
        <v>1451</v>
      </c>
      <c r="D556" t="str">
        <f>"3430"</f>
        <v>3430</v>
      </c>
      <c r="E556" t="s">
        <v>818</v>
      </c>
    </row>
    <row r="557" spans="1:5" x14ac:dyDescent="0.25">
      <c r="A557" t="str">
        <f t="shared" si="29"/>
        <v>17216</v>
      </c>
      <c r="B557" t="s">
        <v>1450</v>
      </c>
      <c r="C557" t="s">
        <v>1452</v>
      </c>
      <c r="D557" t="str">
        <f>"2980"</f>
        <v>2980</v>
      </c>
      <c r="E557" t="s">
        <v>818</v>
      </c>
    </row>
    <row r="558" spans="1:5" x14ac:dyDescent="0.25">
      <c r="A558" t="str">
        <f t="shared" si="29"/>
        <v>17216</v>
      </c>
      <c r="B558" t="s">
        <v>1450</v>
      </c>
      <c r="C558" t="s">
        <v>1453</v>
      </c>
      <c r="D558" t="str">
        <f>"4210"</f>
        <v>4210</v>
      </c>
      <c r="E558" t="s">
        <v>830</v>
      </c>
    </row>
    <row r="559" spans="1:5" x14ac:dyDescent="0.25">
      <c r="A559" t="str">
        <f t="shared" si="29"/>
        <v>17216</v>
      </c>
      <c r="B559" t="s">
        <v>1450</v>
      </c>
      <c r="C559" t="s">
        <v>1454</v>
      </c>
      <c r="D559" t="str">
        <f>"3330"</f>
        <v>3330</v>
      </c>
      <c r="E559" t="s">
        <v>824</v>
      </c>
    </row>
    <row r="560" spans="1:5" x14ac:dyDescent="0.25">
      <c r="A560" t="str">
        <f t="shared" si="29"/>
        <v>17216</v>
      </c>
      <c r="B560" t="s">
        <v>1450</v>
      </c>
      <c r="C560" t="s">
        <v>1455</v>
      </c>
      <c r="D560" t="str">
        <f>"5491"</f>
        <v>5491</v>
      </c>
      <c r="E560" t="s">
        <v>826</v>
      </c>
    </row>
    <row r="561" spans="1:5" x14ac:dyDescent="0.25">
      <c r="A561" t="str">
        <f t="shared" si="29"/>
        <v>17216</v>
      </c>
      <c r="B561" t="s">
        <v>1450</v>
      </c>
      <c r="C561" t="s">
        <v>1456</v>
      </c>
      <c r="D561" t="str">
        <f>"3739"</f>
        <v>3739</v>
      </c>
      <c r="E561" t="s">
        <v>818</v>
      </c>
    </row>
    <row r="562" spans="1:5" x14ac:dyDescent="0.25">
      <c r="A562" t="str">
        <f t="shared" si="29"/>
        <v>17216</v>
      </c>
      <c r="B562" t="s">
        <v>1450</v>
      </c>
      <c r="C562" t="s">
        <v>885</v>
      </c>
      <c r="D562" t="str">
        <f>"1523"</f>
        <v>1523</v>
      </c>
      <c r="E562" t="s">
        <v>851</v>
      </c>
    </row>
    <row r="563" spans="1:5" x14ac:dyDescent="0.25">
      <c r="A563" t="str">
        <f t="shared" si="29"/>
        <v>17216</v>
      </c>
      <c r="B563" t="s">
        <v>1450</v>
      </c>
      <c r="C563" t="s">
        <v>1156</v>
      </c>
      <c r="D563" t="str">
        <f>"4289"</f>
        <v>4289</v>
      </c>
      <c r="E563" t="s">
        <v>818</v>
      </c>
    </row>
    <row r="564" spans="1:5" x14ac:dyDescent="0.25">
      <c r="A564" t="str">
        <f t="shared" si="29"/>
        <v>17216</v>
      </c>
      <c r="B564" t="s">
        <v>1450</v>
      </c>
      <c r="C564" t="s">
        <v>1457</v>
      </c>
      <c r="D564" t="str">
        <f>"4550"</f>
        <v>4550</v>
      </c>
      <c r="E564" t="s">
        <v>830</v>
      </c>
    </row>
    <row r="565" spans="1:5" x14ac:dyDescent="0.25">
      <c r="A565" t="str">
        <f t="shared" si="29"/>
        <v>17216</v>
      </c>
      <c r="B565" t="s">
        <v>1450</v>
      </c>
      <c r="C565" t="s">
        <v>1458</v>
      </c>
      <c r="D565" t="str">
        <f>"3585"</f>
        <v>3585</v>
      </c>
      <c r="E565" t="s">
        <v>818</v>
      </c>
    </row>
    <row r="566" spans="1:5" x14ac:dyDescent="0.25">
      <c r="A566" t="str">
        <f t="shared" ref="A566:A572" si="30">"13165"</f>
        <v>13165</v>
      </c>
      <c r="B566" t="s">
        <v>1459</v>
      </c>
      <c r="C566" t="s">
        <v>1460</v>
      </c>
      <c r="D566" t="str">
        <f>"4229"</f>
        <v>4229</v>
      </c>
      <c r="E566" t="s">
        <v>818</v>
      </c>
    </row>
    <row r="567" spans="1:5" x14ac:dyDescent="0.25">
      <c r="A567" t="str">
        <f t="shared" si="30"/>
        <v>13165</v>
      </c>
      <c r="B567" t="s">
        <v>1459</v>
      </c>
      <c r="C567" t="s">
        <v>1461</v>
      </c>
      <c r="D567" t="str">
        <f>"2793"</f>
        <v>2793</v>
      </c>
      <c r="E567" t="s">
        <v>818</v>
      </c>
    </row>
    <row r="568" spans="1:5" x14ac:dyDescent="0.25">
      <c r="A568" t="str">
        <f t="shared" si="30"/>
        <v>13165</v>
      </c>
      <c r="B568" t="s">
        <v>1459</v>
      </c>
      <c r="C568" t="s">
        <v>1462</v>
      </c>
      <c r="D568" t="str">
        <f>"2920"</f>
        <v>2920</v>
      </c>
      <c r="E568" t="s">
        <v>824</v>
      </c>
    </row>
    <row r="569" spans="1:5" x14ac:dyDescent="0.25">
      <c r="A569" t="str">
        <f t="shared" si="30"/>
        <v>13165</v>
      </c>
      <c r="B569" t="s">
        <v>1459</v>
      </c>
      <c r="C569" t="s">
        <v>1463</v>
      </c>
      <c r="D569" t="str">
        <f>"3373"</f>
        <v>3373</v>
      </c>
      <c r="E569" t="s">
        <v>830</v>
      </c>
    </row>
    <row r="570" spans="1:5" x14ac:dyDescent="0.25">
      <c r="A570" t="str">
        <f t="shared" si="30"/>
        <v>13165</v>
      </c>
      <c r="B570" t="s">
        <v>1459</v>
      </c>
      <c r="C570" t="s">
        <v>1464</v>
      </c>
      <c r="D570" t="str">
        <f>"3092"</f>
        <v>3092</v>
      </c>
      <c r="E570" t="s">
        <v>818</v>
      </c>
    </row>
    <row r="571" spans="1:5" x14ac:dyDescent="0.25">
      <c r="A571" t="str">
        <f t="shared" si="30"/>
        <v>13165</v>
      </c>
      <c r="B571" t="s">
        <v>1459</v>
      </c>
      <c r="C571" t="s">
        <v>1465</v>
      </c>
      <c r="D571" t="str">
        <f>"2695"</f>
        <v>2695</v>
      </c>
      <c r="E571" t="s">
        <v>818</v>
      </c>
    </row>
    <row r="572" spans="1:5" x14ac:dyDescent="0.25">
      <c r="A572" t="str">
        <f t="shared" si="30"/>
        <v>13165</v>
      </c>
      <c r="B572" t="s">
        <v>1459</v>
      </c>
      <c r="C572" t="s">
        <v>1466</v>
      </c>
      <c r="D572" t="str">
        <f>"5497"</f>
        <v>5497</v>
      </c>
      <c r="E572" t="s">
        <v>824</v>
      </c>
    </row>
    <row r="573" spans="1:5" x14ac:dyDescent="0.25">
      <c r="A573" t="str">
        <f>"06701"</f>
        <v>06701</v>
      </c>
      <c r="B573" t="s">
        <v>1467</v>
      </c>
      <c r="C573" t="s">
        <v>1468</v>
      </c>
      <c r="D573" t="str">
        <f>"5467"</f>
        <v>5467</v>
      </c>
      <c r="E573" t="s">
        <v>851</v>
      </c>
    </row>
    <row r="574" spans="1:5" x14ac:dyDescent="0.25">
      <c r="A574" t="str">
        <f>"21036"</f>
        <v>21036</v>
      </c>
      <c r="B574" t="s">
        <v>1469</v>
      </c>
      <c r="C574" t="s">
        <v>1470</v>
      </c>
      <c r="D574" t="str">
        <f>"2355"</f>
        <v>2355</v>
      </c>
      <c r="E574" t="s">
        <v>818</v>
      </c>
    </row>
    <row r="575" spans="1:5" x14ac:dyDescent="0.25">
      <c r="A575" t="str">
        <f t="shared" ref="A575:A606" si="31">"31002"</f>
        <v>31002</v>
      </c>
      <c r="B575" t="s">
        <v>1471</v>
      </c>
      <c r="C575" t="s">
        <v>1094</v>
      </c>
      <c r="D575" t="str">
        <f>"3407"</f>
        <v>3407</v>
      </c>
      <c r="E575" t="s">
        <v>824</v>
      </c>
    </row>
    <row r="576" spans="1:5" x14ac:dyDescent="0.25">
      <c r="A576" t="str">
        <f t="shared" si="31"/>
        <v>31002</v>
      </c>
      <c r="B576" t="s">
        <v>1471</v>
      </c>
      <c r="C576" t="s">
        <v>1472</v>
      </c>
      <c r="D576" t="str">
        <f>"4382"</f>
        <v>4382</v>
      </c>
      <c r="E576" t="s">
        <v>818</v>
      </c>
    </row>
    <row r="577" spans="1:5" x14ac:dyDescent="0.25">
      <c r="A577" t="str">
        <f t="shared" si="31"/>
        <v>31002</v>
      </c>
      <c r="B577" t="s">
        <v>1471</v>
      </c>
      <c r="C577" t="s">
        <v>1473</v>
      </c>
      <c r="D577" t="str">
        <f>"3752"</f>
        <v>3752</v>
      </c>
      <c r="E577" t="s">
        <v>830</v>
      </c>
    </row>
    <row r="578" spans="1:5" x14ac:dyDescent="0.25">
      <c r="A578" t="str">
        <f t="shared" si="31"/>
        <v>31002</v>
      </c>
      <c r="B578" t="s">
        <v>1471</v>
      </c>
      <c r="C578" t="s">
        <v>1474</v>
      </c>
      <c r="D578" t="str">
        <f>"3184"</f>
        <v>3184</v>
      </c>
      <c r="E578" t="s">
        <v>818</v>
      </c>
    </row>
    <row r="579" spans="1:5" x14ac:dyDescent="0.25">
      <c r="A579" t="str">
        <f t="shared" si="31"/>
        <v>31002</v>
      </c>
      <c r="B579" t="s">
        <v>1471</v>
      </c>
      <c r="C579" t="s">
        <v>1475</v>
      </c>
      <c r="D579" t="str">
        <f>"2126"</f>
        <v>2126</v>
      </c>
      <c r="E579" t="s">
        <v>824</v>
      </c>
    </row>
    <row r="580" spans="1:5" x14ac:dyDescent="0.25">
      <c r="A580" t="str">
        <f t="shared" si="31"/>
        <v>31002</v>
      </c>
      <c r="B580" t="s">
        <v>1471</v>
      </c>
      <c r="C580" t="s">
        <v>1476</v>
      </c>
      <c r="D580" t="str">
        <f>"5330"</f>
        <v>5330</v>
      </c>
      <c r="E580" t="s">
        <v>824</v>
      </c>
    </row>
    <row r="581" spans="1:5" x14ac:dyDescent="0.25">
      <c r="A581" t="str">
        <f t="shared" si="31"/>
        <v>31002</v>
      </c>
      <c r="B581" t="s">
        <v>1471</v>
      </c>
      <c r="C581" t="s">
        <v>1136</v>
      </c>
      <c r="D581" t="str">
        <f>"3253"</f>
        <v>3253</v>
      </c>
      <c r="E581" t="s">
        <v>830</v>
      </c>
    </row>
    <row r="582" spans="1:5" x14ac:dyDescent="0.25">
      <c r="A582" t="str">
        <f t="shared" si="31"/>
        <v>31002</v>
      </c>
      <c r="B582" t="s">
        <v>1471</v>
      </c>
      <c r="C582" t="s">
        <v>1477</v>
      </c>
      <c r="D582" t="str">
        <f>"5091"</f>
        <v>5091</v>
      </c>
      <c r="E582" t="s">
        <v>818</v>
      </c>
    </row>
    <row r="583" spans="1:5" x14ac:dyDescent="0.25">
      <c r="A583" t="str">
        <f t="shared" si="31"/>
        <v>31002</v>
      </c>
      <c r="B583" t="s">
        <v>1471</v>
      </c>
      <c r="C583" t="s">
        <v>1478</v>
      </c>
      <c r="D583" t="str">
        <f>"2065"</f>
        <v>2065</v>
      </c>
      <c r="E583" t="s">
        <v>818</v>
      </c>
    </row>
    <row r="584" spans="1:5" x14ac:dyDescent="0.25">
      <c r="A584" t="str">
        <f t="shared" si="31"/>
        <v>31002</v>
      </c>
      <c r="B584" t="s">
        <v>1471</v>
      </c>
      <c r="C584" t="s">
        <v>1479</v>
      </c>
      <c r="D584" t="str">
        <f>"4437"</f>
        <v>4437</v>
      </c>
      <c r="E584" t="s">
        <v>830</v>
      </c>
    </row>
    <row r="585" spans="1:5" x14ac:dyDescent="0.25">
      <c r="A585" t="str">
        <f t="shared" si="31"/>
        <v>31002</v>
      </c>
      <c r="B585" t="s">
        <v>1471</v>
      </c>
      <c r="C585" t="s">
        <v>1480</v>
      </c>
      <c r="D585" t="str">
        <f>"2883"</f>
        <v>2883</v>
      </c>
      <c r="E585" t="s">
        <v>818</v>
      </c>
    </row>
    <row r="586" spans="1:5" x14ac:dyDescent="0.25">
      <c r="A586" t="str">
        <f t="shared" si="31"/>
        <v>31002</v>
      </c>
      <c r="B586" t="s">
        <v>1471</v>
      </c>
      <c r="C586" t="s">
        <v>1481</v>
      </c>
      <c r="D586" t="str">
        <f>"4334"</f>
        <v>4334</v>
      </c>
      <c r="E586" t="s">
        <v>830</v>
      </c>
    </row>
    <row r="587" spans="1:5" x14ac:dyDescent="0.25">
      <c r="A587" t="str">
        <f t="shared" si="31"/>
        <v>31002</v>
      </c>
      <c r="B587" t="s">
        <v>1471</v>
      </c>
      <c r="C587" t="s">
        <v>1482</v>
      </c>
      <c r="D587" t="str">
        <f>"4438"</f>
        <v>4438</v>
      </c>
      <c r="E587" t="s">
        <v>824</v>
      </c>
    </row>
    <row r="588" spans="1:5" x14ac:dyDescent="0.25">
      <c r="A588" t="str">
        <f t="shared" si="31"/>
        <v>31002</v>
      </c>
      <c r="B588" t="s">
        <v>1471</v>
      </c>
      <c r="C588" t="s">
        <v>1483</v>
      </c>
      <c r="D588" t="str">
        <f>"2751"</f>
        <v>2751</v>
      </c>
      <c r="E588" t="s">
        <v>818</v>
      </c>
    </row>
    <row r="589" spans="1:5" x14ac:dyDescent="0.25">
      <c r="A589" t="str">
        <f t="shared" si="31"/>
        <v>31002</v>
      </c>
      <c r="B589" t="s">
        <v>1471</v>
      </c>
      <c r="C589" t="s">
        <v>1484</v>
      </c>
      <c r="D589" t="str">
        <f>"3533"</f>
        <v>3533</v>
      </c>
      <c r="E589" t="s">
        <v>818</v>
      </c>
    </row>
    <row r="590" spans="1:5" x14ac:dyDescent="0.25">
      <c r="A590" t="str">
        <f t="shared" si="31"/>
        <v>31002</v>
      </c>
      <c r="B590" t="s">
        <v>1471</v>
      </c>
      <c r="C590" t="s">
        <v>1485</v>
      </c>
      <c r="D590" t="str">
        <f>"2811"</f>
        <v>2811</v>
      </c>
      <c r="E590" t="s">
        <v>818</v>
      </c>
    </row>
    <row r="591" spans="1:5" x14ac:dyDescent="0.25">
      <c r="A591" t="str">
        <f t="shared" si="31"/>
        <v>31002</v>
      </c>
      <c r="B591" t="s">
        <v>1471</v>
      </c>
      <c r="C591" t="s">
        <v>1486</v>
      </c>
      <c r="D591" t="str">
        <f>"2669"</f>
        <v>2669</v>
      </c>
      <c r="E591" t="s">
        <v>818</v>
      </c>
    </row>
    <row r="592" spans="1:5" x14ac:dyDescent="0.25">
      <c r="A592" t="str">
        <f t="shared" si="31"/>
        <v>31002</v>
      </c>
      <c r="B592" t="s">
        <v>1471</v>
      </c>
      <c r="C592" t="s">
        <v>1487</v>
      </c>
      <c r="D592" t="str">
        <f>"4316"</f>
        <v>4316</v>
      </c>
      <c r="E592" t="s">
        <v>818</v>
      </c>
    </row>
    <row r="593" spans="1:5" x14ac:dyDescent="0.25">
      <c r="A593" t="str">
        <f t="shared" si="31"/>
        <v>31002</v>
      </c>
      <c r="B593" t="s">
        <v>1471</v>
      </c>
      <c r="C593" t="s">
        <v>1488</v>
      </c>
      <c r="D593" t="str">
        <f>"3686"</f>
        <v>3686</v>
      </c>
      <c r="E593" t="s">
        <v>818</v>
      </c>
    </row>
    <row r="594" spans="1:5" x14ac:dyDescent="0.25">
      <c r="A594" t="str">
        <f t="shared" si="31"/>
        <v>31002</v>
      </c>
      <c r="B594" t="s">
        <v>1471</v>
      </c>
      <c r="C594" t="s">
        <v>1489</v>
      </c>
      <c r="D594" t="str">
        <f>"2364"</f>
        <v>2364</v>
      </c>
      <c r="E594" t="s">
        <v>830</v>
      </c>
    </row>
    <row r="595" spans="1:5" x14ac:dyDescent="0.25">
      <c r="A595" t="str">
        <f t="shared" si="31"/>
        <v>31002</v>
      </c>
      <c r="B595" t="s">
        <v>1471</v>
      </c>
      <c r="C595" t="s">
        <v>1490</v>
      </c>
      <c r="D595" t="str">
        <f>"1663"</f>
        <v>1663</v>
      </c>
      <c r="E595" t="s">
        <v>824</v>
      </c>
    </row>
    <row r="596" spans="1:5" x14ac:dyDescent="0.25">
      <c r="A596" t="str">
        <f t="shared" si="31"/>
        <v>31002</v>
      </c>
      <c r="B596" t="s">
        <v>1471</v>
      </c>
      <c r="C596" t="s">
        <v>1491</v>
      </c>
      <c r="D596" t="str">
        <f>"5414"</f>
        <v>5414</v>
      </c>
      <c r="E596" t="s">
        <v>859</v>
      </c>
    </row>
    <row r="597" spans="1:5" x14ac:dyDescent="0.25">
      <c r="A597" t="str">
        <f t="shared" si="31"/>
        <v>31002</v>
      </c>
      <c r="B597" t="s">
        <v>1471</v>
      </c>
      <c r="C597" t="s">
        <v>1492</v>
      </c>
      <c r="D597" t="str">
        <f>"4530"</f>
        <v>4530</v>
      </c>
      <c r="E597" t="s">
        <v>818</v>
      </c>
    </row>
    <row r="598" spans="1:5" x14ac:dyDescent="0.25">
      <c r="A598" t="str">
        <f t="shared" si="31"/>
        <v>31002</v>
      </c>
      <c r="B598" t="s">
        <v>1471</v>
      </c>
      <c r="C598" t="s">
        <v>1493</v>
      </c>
      <c r="D598" t="str">
        <f>"1907"</f>
        <v>1907</v>
      </c>
      <c r="E598" t="s">
        <v>859</v>
      </c>
    </row>
    <row r="599" spans="1:5" x14ac:dyDescent="0.25">
      <c r="A599" t="str">
        <f t="shared" si="31"/>
        <v>31002</v>
      </c>
      <c r="B599" t="s">
        <v>1471</v>
      </c>
      <c r="C599" t="s">
        <v>1494</v>
      </c>
      <c r="D599" t="str">
        <f>"4137"</f>
        <v>4137</v>
      </c>
      <c r="E599" t="s">
        <v>824</v>
      </c>
    </row>
    <row r="600" spans="1:5" x14ac:dyDescent="0.25">
      <c r="A600" t="str">
        <f t="shared" si="31"/>
        <v>31002</v>
      </c>
      <c r="B600" t="s">
        <v>1471</v>
      </c>
      <c r="C600" t="s">
        <v>1495</v>
      </c>
      <c r="D600" t="str">
        <f>"4298"</f>
        <v>4298</v>
      </c>
      <c r="E600" t="s">
        <v>818</v>
      </c>
    </row>
    <row r="601" spans="1:5" x14ac:dyDescent="0.25">
      <c r="A601" t="str">
        <f t="shared" si="31"/>
        <v>31002</v>
      </c>
      <c r="B601" t="s">
        <v>1471</v>
      </c>
      <c r="C601" t="s">
        <v>1496</v>
      </c>
      <c r="D601" t="str">
        <f>"2545"</f>
        <v>2545</v>
      </c>
      <c r="E601" t="s">
        <v>818</v>
      </c>
    </row>
    <row r="602" spans="1:5" x14ac:dyDescent="0.25">
      <c r="A602" t="str">
        <f t="shared" si="31"/>
        <v>31002</v>
      </c>
      <c r="B602" t="s">
        <v>1471</v>
      </c>
      <c r="C602" t="s">
        <v>1497</v>
      </c>
      <c r="D602" t="str">
        <f>"1810"</f>
        <v>1810</v>
      </c>
      <c r="E602" t="s">
        <v>821</v>
      </c>
    </row>
    <row r="603" spans="1:5" x14ac:dyDescent="0.25">
      <c r="A603" t="str">
        <f t="shared" si="31"/>
        <v>31002</v>
      </c>
      <c r="B603" t="s">
        <v>1471</v>
      </c>
      <c r="C603" t="s">
        <v>1042</v>
      </c>
      <c r="D603" t="str">
        <f>"3903"</f>
        <v>3903</v>
      </c>
      <c r="E603" t="s">
        <v>851</v>
      </c>
    </row>
    <row r="604" spans="1:5" x14ac:dyDescent="0.25">
      <c r="A604" t="str">
        <f t="shared" si="31"/>
        <v>31002</v>
      </c>
      <c r="B604" t="s">
        <v>1471</v>
      </c>
      <c r="C604" t="s">
        <v>1498</v>
      </c>
      <c r="D604" t="str">
        <f>"3002"</f>
        <v>3002</v>
      </c>
      <c r="E604" t="s">
        <v>818</v>
      </c>
    </row>
    <row r="605" spans="1:5" x14ac:dyDescent="0.25">
      <c r="A605" t="str">
        <f t="shared" si="31"/>
        <v>31002</v>
      </c>
      <c r="B605" t="s">
        <v>1471</v>
      </c>
      <c r="C605" t="s">
        <v>1499</v>
      </c>
      <c r="D605" t="str">
        <f>"2752"</f>
        <v>2752</v>
      </c>
      <c r="E605" t="s">
        <v>818</v>
      </c>
    </row>
    <row r="606" spans="1:5" x14ac:dyDescent="0.25">
      <c r="A606" t="str">
        <f t="shared" si="31"/>
        <v>31002</v>
      </c>
      <c r="B606" t="s">
        <v>1471</v>
      </c>
      <c r="C606" t="s">
        <v>1500</v>
      </c>
      <c r="D606" t="str">
        <f>"4125"</f>
        <v>4125</v>
      </c>
      <c r="E606" t="s">
        <v>818</v>
      </c>
    </row>
    <row r="607" spans="1:5" x14ac:dyDescent="0.25">
      <c r="A607" t="str">
        <f t="shared" ref="A607:A645" si="32">"06114"</f>
        <v>06114</v>
      </c>
      <c r="B607" t="s">
        <v>1501</v>
      </c>
      <c r="C607" t="s">
        <v>1502</v>
      </c>
      <c r="D607" t="str">
        <f>"1646"</f>
        <v>1646</v>
      </c>
      <c r="E607" t="s">
        <v>859</v>
      </c>
    </row>
    <row r="608" spans="1:5" x14ac:dyDescent="0.25">
      <c r="A608" t="str">
        <f t="shared" si="32"/>
        <v>06114</v>
      </c>
      <c r="B608" t="s">
        <v>1501</v>
      </c>
      <c r="C608" t="s">
        <v>1503</v>
      </c>
      <c r="D608" t="str">
        <f>"4299"</f>
        <v>4299</v>
      </c>
      <c r="E608" t="s">
        <v>818</v>
      </c>
    </row>
    <row r="609" spans="1:5" x14ac:dyDescent="0.25">
      <c r="A609" t="str">
        <f t="shared" si="32"/>
        <v>06114</v>
      </c>
      <c r="B609" t="s">
        <v>1501</v>
      </c>
      <c r="C609" t="s">
        <v>1504</v>
      </c>
      <c r="D609" t="str">
        <f>"3736"</f>
        <v>3736</v>
      </c>
      <c r="E609" t="s">
        <v>818</v>
      </c>
    </row>
    <row r="610" spans="1:5" x14ac:dyDescent="0.25">
      <c r="A610" t="str">
        <f t="shared" si="32"/>
        <v>06114</v>
      </c>
      <c r="B610" t="s">
        <v>1501</v>
      </c>
      <c r="C610" t="s">
        <v>871</v>
      </c>
      <c r="D610" t="str">
        <f>"3785"</f>
        <v>3785</v>
      </c>
      <c r="E610" t="s">
        <v>830</v>
      </c>
    </row>
    <row r="611" spans="1:5" x14ac:dyDescent="0.25">
      <c r="A611" t="str">
        <f t="shared" si="32"/>
        <v>06114</v>
      </c>
      <c r="B611" t="s">
        <v>1501</v>
      </c>
      <c r="C611" t="s">
        <v>1505</v>
      </c>
      <c r="D611" t="str">
        <f>"5535"</f>
        <v>5535</v>
      </c>
      <c r="E611" t="s">
        <v>824</v>
      </c>
    </row>
    <row r="612" spans="1:5" x14ac:dyDescent="0.25">
      <c r="A612" t="str">
        <f t="shared" si="32"/>
        <v>06114</v>
      </c>
      <c r="B612" t="s">
        <v>1501</v>
      </c>
      <c r="C612" t="s">
        <v>1506</v>
      </c>
      <c r="D612" t="str">
        <f>"4203"</f>
        <v>4203</v>
      </c>
      <c r="E612" t="s">
        <v>824</v>
      </c>
    </row>
    <row r="613" spans="1:5" x14ac:dyDescent="0.25">
      <c r="A613" t="str">
        <f t="shared" si="32"/>
        <v>06114</v>
      </c>
      <c r="B613" t="s">
        <v>1501</v>
      </c>
      <c r="C613" t="s">
        <v>1507</v>
      </c>
      <c r="D613" t="str">
        <f>"4587"</f>
        <v>4587</v>
      </c>
      <c r="E613" t="s">
        <v>818</v>
      </c>
    </row>
    <row r="614" spans="1:5" x14ac:dyDescent="0.25">
      <c r="A614" t="str">
        <f t="shared" si="32"/>
        <v>06114</v>
      </c>
      <c r="B614" t="s">
        <v>1501</v>
      </c>
      <c r="C614" t="s">
        <v>1508</v>
      </c>
      <c r="D614" t="str">
        <f>"3320"</f>
        <v>3320</v>
      </c>
      <c r="E614" t="s">
        <v>830</v>
      </c>
    </row>
    <row r="615" spans="1:5" x14ac:dyDescent="0.25">
      <c r="A615" t="str">
        <f t="shared" si="32"/>
        <v>06114</v>
      </c>
      <c r="B615" t="s">
        <v>1501</v>
      </c>
      <c r="C615" t="s">
        <v>1509</v>
      </c>
      <c r="D615" t="str">
        <f>"3822"</f>
        <v>3822</v>
      </c>
      <c r="E615" t="s">
        <v>818</v>
      </c>
    </row>
    <row r="616" spans="1:5" x14ac:dyDescent="0.25">
      <c r="A616" t="str">
        <f t="shared" si="32"/>
        <v>06114</v>
      </c>
      <c r="B616" t="s">
        <v>1501</v>
      </c>
      <c r="C616" t="s">
        <v>1392</v>
      </c>
      <c r="D616" t="str">
        <f>"1530"</f>
        <v>1530</v>
      </c>
      <c r="E616" t="s">
        <v>826</v>
      </c>
    </row>
    <row r="617" spans="1:5" x14ac:dyDescent="0.25">
      <c r="A617" t="str">
        <f t="shared" si="32"/>
        <v>06114</v>
      </c>
      <c r="B617" t="s">
        <v>1501</v>
      </c>
      <c r="C617" t="s">
        <v>1510</v>
      </c>
      <c r="D617" t="str">
        <f>"3148"</f>
        <v>3148</v>
      </c>
      <c r="E617" t="s">
        <v>818</v>
      </c>
    </row>
    <row r="618" spans="1:5" x14ac:dyDescent="0.25">
      <c r="A618" t="str">
        <f t="shared" si="32"/>
        <v>06114</v>
      </c>
      <c r="B618" t="s">
        <v>1501</v>
      </c>
      <c r="C618" t="s">
        <v>1511</v>
      </c>
      <c r="D618" t="str">
        <f>"5136"</f>
        <v>5136</v>
      </c>
      <c r="E618" t="s">
        <v>818</v>
      </c>
    </row>
    <row r="619" spans="1:5" x14ac:dyDescent="0.25">
      <c r="A619" t="str">
        <f t="shared" si="32"/>
        <v>06114</v>
      </c>
      <c r="B619" t="s">
        <v>1501</v>
      </c>
      <c r="C619" t="s">
        <v>1512</v>
      </c>
      <c r="D619" t="str">
        <f>"2724"</f>
        <v>2724</v>
      </c>
      <c r="E619" t="s">
        <v>824</v>
      </c>
    </row>
    <row r="620" spans="1:5" x14ac:dyDescent="0.25">
      <c r="A620" t="str">
        <f t="shared" si="32"/>
        <v>06114</v>
      </c>
      <c r="B620" t="s">
        <v>1501</v>
      </c>
      <c r="C620" t="s">
        <v>1513</v>
      </c>
      <c r="D620" t="str">
        <f>"3971"</f>
        <v>3971</v>
      </c>
      <c r="E620" t="s">
        <v>818</v>
      </c>
    </row>
    <row r="621" spans="1:5" x14ac:dyDescent="0.25">
      <c r="A621" t="str">
        <f t="shared" si="32"/>
        <v>06114</v>
      </c>
      <c r="B621" t="s">
        <v>1501</v>
      </c>
      <c r="C621" t="s">
        <v>1514</v>
      </c>
      <c r="D621" t="str">
        <f>"4499"</f>
        <v>4499</v>
      </c>
      <c r="E621" t="s">
        <v>818</v>
      </c>
    </row>
    <row r="622" spans="1:5" x14ac:dyDescent="0.25">
      <c r="A622" t="str">
        <f t="shared" si="32"/>
        <v>06114</v>
      </c>
      <c r="B622" t="s">
        <v>1501</v>
      </c>
      <c r="C622" t="s">
        <v>1001</v>
      </c>
      <c r="D622" t="str">
        <f>"4498"</f>
        <v>4498</v>
      </c>
      <c r="E622" t="s">
        <v>830</v>
      </c>
    </row>
    <row r="623" spans="1:5" x14ac:dyDescent="0.25">
      <c r="A623" t="str">
        <f t="shared" si="32"/>
        <v>06114</v>
      </c>
      <c r="B623" t="s">
        <v>1501</v>
      </c>
      <c r="C623" t="s">
        <v>1515</v>
      </c>
      <c r="D623" t="str">
        <f>"4380"</f>
        <v>4380</v>
      </c>
      <c r="E623" t="s">
        <v>818</v>
      </c>
    </row>
    <row r="624" spans="1:5" x14ac:dyDescent="0.25">
      <c r="A624" t="str">
        <f t="shared" si="32"/>
        <v>06114</v>
      </c>
      <c r="B624" t="s">
        <v>1501</v>
      </c>
      <c r="C624" t="s">
        <v>1516</v>
      </c>
      <c r="D624" t="str">
        <f>"4163"</f>
        <v>4163</v>
      </c>
      <c r="E624" t="s">
        <v>818</v>
      </c>
    </row>
    <row r="625" spans="1:5" x14ac:dyDescent="0.25">
      <c r="A625" t="str">
        <f t="shared" si="32"/>
        <v>06114</v>
      </c>
      <c r="B625" t="s">
        <v>1501</v>
      </c>
      <c r="C625" t="s">
        <v>1517</v>
      </c>
      <c r="D625" t="str">
        <f>"5310"</f>
        <v>5310</v>
      </c>
      <c r="E625" t="s">
        <v>824</v>
      </c>
    </row>
    <row r="626" spans="1:5" x14ac:dyDescent="0.25">
      <c r="A626" t="str">
        <f t="shared" si="32"/>
        <v>06114</v>
      </c>
      <c r="B626" t="s">
        <v>1501</v>
      </c>
      <c r="C626" t="s">
        <v>1518</v>
      </c>
      <c r="D626" t="str">
        <f>"4523"</f>
        <v>4523</v>
      </c>
      <c r="E626" t="s">
        <v>824</v>
      </c>
    </row>
    <row r="627" spans="1:5" x14ac:dyDescent="0.25">
      <c r="A627" t="str">
        <f t="shared" si="32"/>
        <v>06114</v>
      </c>
      <c r="B627" t="s">
        <v>1501</v>
      </c>
      <c r="C627" t="s">
        <v>1519</v>
      </c>
      <c r="D627" t="str">
        <f>"1926"</f>
        <v>1926</v>
      </c>
      <c r="E627" t="s">
        <v>859</v>
      </c>
    </row>
    <row r="628" spans="1:5" x14ac:dyDescent="0.25">
      <c r="A628" t="str">
        <f t="shared" si="32"/>
        <v>06114</v>
      </c>
      <c r="B628" t="s">
        <v>1501</v>
      </c>
      <c r="C628" t="s">
        <v>1520</v>
      </c>
      <c r="D628" t="str">
        <f>"4560"</f>
        <v>4560</v>
      </c>
      <c r="E628" t="s">
        <v>818</v>
      </c>
    </row>
    <row r="629" spans="1:5" x14ac:dyDescent="0.25">
      <c r="A629" t="str">
        <f t="shared" si="32"/>
        <v>06114</v>
      </c>
      <c r="B629" t="s">
        <v>1501</v>
      </c>
      <c r="C629" t="s">
        <v>1521</v>
      </c>
      <c r="D629" t="str">
        <f>"3994"</f>
        <v>3994</v>
      </c>
      <c r="E629" t="s">
        <v>818</v>
      </c>
    </row>
    <row r="630" spans="1:5" x14ac:dyDescent="0.25">
      <c r="A630" t="str">
        <f t="shared" si="32"/>
        <v>06114</v>
      </c>
      <c r="B630" t="s">
        <v>1501</v>
      </c>
      <c r="C630" t="s">
        <v>1522</v>
      </c>
      <c r="D630" t="str">
        <f>"4042"</f>
        <v>4042</v>
      </c>
      <c r="E630" t="s">
        <v>821</v>
      </c>
    </row>
    <row r="631" spans="1:5" x14ac:dyDescent="0.25">
      <c r="A631" t="str">
        <f t="shared" si="32"/>
        <v>06114</v>
      </c>
      <c r="B631" t="s">
        <v>1501</v>
      </c>
      <c r="C631" t="s">
        <v>1523</v>
      </c>
      <c r="D631" t="str">
        <f>"3618"</f>
        <v>3618</v>
      </c>
      <c r="E631" t="s">
        <v>818</v>
      </c>
    </row>
    <row r="632" spans="1:5" x14ac:dyDescent="0.25">
      <c r="A632" t="str">
        <f t="shared" si="32"/>
        <v>06114</v>
      </c>
      <c r="B632" t="s">
        <v>1501</v>
      </c>
      <c r="C632" t="s">
        <v>1524</v>
      </c>
      <c r="D632" t="str">
        <f>"2829"</f>
        <v>2829</v>
      </c>
      <c r="E632" t="s">
        <v>818</v>
      </c>
    </row>
    <row r="633" spans="1:5" x14ac:dyDescent="0.25">
      <c r="A633" t="str">
        <f t="shared" si="32"/>
        <v>06114</v>
      </c>
      <c r="B633" t="s">
        <v>1501</v>
      </c>
      <c r="C633" t="s">
        <v>1525</v>
      </c>
      <c r="D633" t="str">
        <f>"4162"</f>
        <v>4162</v>
      </c>
      <c r="E633" t="s">
        <v>824</v>
      </c>
    </row>
    <row r="634" spans="1:5" x14ac:dyDescent="0.25">
      <c r="A634" t="str">
        <f t="shared" si="32"/>
        <v>06114</v>
      </c>
      <c r="B634" t="s">
        <v>1501</v>
      </c>
      <c r="C634" t="s">
        <v>1526</v>
      </c>
      <c r="D634" t="str">
        <f>"5435"</f>
        <v>5435</v>
      </c>
      <c r="E634" t="s">
        <v>824</v>
      </c>
    </row>
    <row r="635" spans="1:5" x14ac:dyDescent="0.25">
      <c r="A635" t="str">
        <f t="shared" si="32"/>
        <v>06114</v>
      </c>
      <c r="B635" t="s">
        <v>1501</v>
      </c>
      <c r="C635" t="s">
        <v>1527</v>
      </c>
      <c r="D635" t="str">
        <f>"2912"</f>
        <v>2912</v>
      </c>
      <c r="E635" t="s">
        <v>818</v>
      </c>
    </row>
    <row r="636" spans="1:5" x14ac:dyDescent="0.25">
      <c r="A636" t="str">
        <f t="shared" si="32"/>
        <v>06114</v>
      </c>
      <c r="B636" t="s">
        <v>1501</v>
      </c>
      <c r="C636" t="s">
        <v>1528</v>
      </c>
      <c r="D636" t="str">
        <f>"4209"</f>
        <v>4209</v>
      </c>
      <c r="E636" t="s">
        <v>830</v>
      </c>
    </row>
    <row r="637" spans="1:5" x14ac:dyDescent="0.25">
      <c r="A637" t="str">
        <f t="shared" si="32"/>
        <v>06114</v>
      </c>
      <c r="B637" t="s">
        <v>1501</v>
      </c>
      <c r="C637" t="s">
        <v>883</v>
      </c>
      <c r="D637" t="str">
        <f>"4445"</f>
        <v>4445</v>
      </c>
      <c r="E637" t="s">
        <v>818</v>
      </c>
    </row>
    <row r="638" spans="1:5" x14ac:dyDescent="0.25">
      <c r="A638" t="str">
        <f t="shared" si="32"/>
        <v>06114</v>
      </c>
      <c r="B638" t="s">
        <v>1501</v>
      </c>
      <c r="C638" t="s">
        <v>1529</v>
      </c>
      <c r="D638" t="str">
        <f>"3995"</f>
        <v>3995</v>
      </c>
      <c r="E638" t="s">
        <v>818</v>
      </c>
    </row>
    <row r="639" spans="1:5" x14ac:dyDescent="0.25">
      <c r="A639" t="str">
        <f t="shared" si="32"/>
        <v>06114</v>
      </c>
      <c r="B639" t="s">
        <v>1501</v>
      </c>
      <c r="C639" t="s">
        <v>1530</v>
      </c>
      <c r="D639" t="str">
        <f>"4561"</f>
        <v>4561</v>
      </c>
      <c r="E639" t="s">
        <v>830</v>
      </c>
    </row>
    <row r="640" spans="1:5" x14ac:dyDescent="0.25">
      <c r="A640" t="str">
        <f t="shared" si="32"/>
        <v>06114</v>
      </c>
      <c r="B640" t="s">
        <v>1501</v>
      </c>
      <c r="C640" t="s">
        <v>1531</v>
      </c>
      <c r="D640" t="str">
        <f>"3149"</f>
        <v>3149</v>
      </c>
      <c r="E640" t="s">
        <v>818</v>
      </c>
    </row>
    <row r="641" spans="1:5" x14ac:dyDescent="0.25">
      <c r="A641" t="str">
        <f t="shared" si="32"/>
        <v>06114</v>
      </c>
      <c r="B641" t="s">
        <v>1501</v>
      </c>
      <c r="C641" t="s">
        <v>1532</v>
      </c>
      <c r="D641" t="str">
        <f>"3823"</f>
        <v>3823</v>
      </c>
      <c r="E641" t="s">
        <v>818</v>
      </c>
    </row>
    <row r="642" spans="1:5" x14ac:dyDescent="0.25">
      <c r="A642" t="str">
        <f t="shared" si="32"/>
        <v>06114</v>
      </c>
      <c r="B642" t="s">
        <v>1501</v>
      </c>
      <c r="C642" t="s">
        <v>1533</v>
      </c>
      <c r="D642" t="str">
        <f>"3970"</f>
        <v>3970</v>
      </c>
      <c r="E642" t="s">
        <v>818</v>
      </c>
    </row>
    <row r="643" spans="1:5" x14ac:dyDescent="0.25">
      <c r="A643" t="str">
        <f t="shared" si="32"/>
        <v>06114</v>
      </c>
      <c r="B643" t="s">
        <v>1501</v>
      </c>
      <c r="C643" t="s">
        <v>1534</v>
      </c>
      <c r="D643" t="str">
        <f>"5111"</f>
        <v>5111</v>
      </c>
      <c r="E643" t="s">
        <v>824</v>
      </c>
    </row>
    <row r="644" spans="1:5" x14ac:dyDescent="0.25">
      <c r="A644" t="str">
        <f t="shared" si="32"/>
        <v>06114</v>
      </c>
      <c r="B644" t="s">
        <v>1501</v>
      </c>
      <c r="C644" t="s">
        <v>1535</v>
      </c>
      <c r="D644" t="str">
        <f>"4051"</f>
        <v>4051</v>
      </c>
      <c r="E644" t="s">
        <v>830</v>
      </c>
    </row>
    <row r="645" spans="1:5" x14ac:dyDescent="0.25">
      <c r="A645" t="str">
        <f t="shared" si="32"/>
        <v>06114</v>
      </c>
      <c r="B645" t="s">
        <v>1501</v>
      </c>
      <c r="C645" t="s">
        <v>1536</v>
      </c>
      <c r="D645" t="str">
        <f>"4579"</f>
        <v>4579</v>
      </c>
      <c r="E645" t="s">
        <v>818</v>
      </c>
    </row>
    <row r="646" spans="1:5" x14ac:dyDescent="0.25">
      <c r="A646" t="str">
        <f>"33205"</f>
        <v>33205</v>
      </c>
      <c r="B646" t="s">
        <v>1537</v>
      </c>
      <c r="C646" t="s">
        <v>1538</v>
      </c>
      <c r="D646" t="str">
        <f>"3197"</f>
        <v>3197</v>
      </c>
      <c r="E646" t="s">
        <v>818</v>
      </c>
    </row>
    <row r="647" spans="1:5" x14ac:dyDescent="0.25">
      <c r="A647" t="str">
        <f t="shared" ref="A647:A692" si="33">"17210"</f>
        <v>17210</v>
      </c>
      <c r="B647" t="s">
        <v>1539</v>
      </c>
      <c r="C647" t="s">
        <v>1540</v>
      </c>
      <c r="D647" t="str">
        <f>"3519"</f>
        <v>3519</v>
      </c>
      <c r="E647" t="s">
        <v>818</v>
      </c>
    </row>
    <row r="648" spans="1:5" x14ac:dyDescent="0.25">
      <c r="A648" t="str">
        <f t="shared" si="33"/>
        <v>17210</v>
      </c>
      <c r="B648" t="s">
        <v>1539</v>
      </c>
      <c r="C648" t="s">
        <v>1541</v>
      </c>
      <c r="D648" t="str">
        <f>"5279"</f>
        <v>5279</v>
      </c>
      <c r="E648" t="s">
        <v>826</v>
      </c>
    </row>
    <row r="649" spans="1:5" x14ac:dyDescent="0.25">
      <c r="A649" t="str">
        <f t="shared" si="33"/>
        <v>17210</v>
      </c>
      <c r="B649" t="s">
        <v>1539</v>
      </c>
      <c r="C649" t="s">
        <v>1542</v>
      </c>
      <c r="D649" t="str">
        <f>"3700"</f>
        <v>3700</v>
      </c>
      <c r="E649" t="s">
        <v>818</v>
      </c>
    </row>
    <row r="650" spans="1:5" x14ac:dyDescent="0.25">
      <c r="A650" t="str">
        <f t="shared" si="33"/>
        <v>17210</v>
      </c>
      <c r="B650" t="s">
        <v>1539</v>
      </c>
      <c r="C650" t="s">
        <v>1543</v>
      </c>
      <c r="D650" t="str">
        <f>"3547"</f>
        <v>3547</v>
      </c>
      <c r="E650" t="s">
        <v>818</v>
      </c>
    </row>
    <row r="651" spans="1:5" x14ac:dyDescent="0.25">
      <c r="A651" t="str">
        <f t="shared" si="33"/>
        <v>17210</v>
      </c>
      <c r="B651" t="s">
        <v>1539</v>
      </c>
      <c r="C651" t="s">
        <v>1544</v>
      </c>
      <c r="D651" t="str">
        <f>"5163"</f>
        <v>5163</v>
      </c>
      <c r="E651" t="s">
        <v>824</v>
      </c>
    </row>
    <row r="652" spans="1:5" x14ac:dyDescent="0.25">
      <c r="A652" t="str">
        <f t="shared" si="33"/>
        <v>17210</v>
      </c>
      <c r="B652" t="s">
        <v>1539</v>
      </c>
      <c r="C652" t="s">
        <v>1545</v>
      </c>
      <c r="D652" t="str">
        <f>"3766"</f>
        <v>3766</v>
      </c>
      <c r="E652" t="s">
        <v>824</v>
      </c>
    </row>
    <row r="653" spans="1:5" x14ac:dyDescent="0.25">
      <c r="A653" t="str">
        <f t="shared" si="33"/>
        <v>17210</v>
      </c>
      <c r="B653" t="s">
        <v>1539</v>
      </c>
      <c r="C653" t="s">
        <v>1546</v>
      </c>
      <c r="D653" t="str">
        <f>"5280"</f>
        <v>5280</v>
      </c>
      <c r="E653" t="s">
        <v>851</v>
      </c>
    </row>
    <row r="654" spans="1:5" x14ac:dyDescent="0.25">
      <c r="A654" t="str">
        <f t="shared" si="33"/>
        <v>17210</v>
      </c>
      <c r="B654" t="s">
        <v>1539</v>
      </c>
      <c r="C654" t="s">
        <v>1547</v>
      </c>
      <c r="D654" t="str">
        <f>"1950"</f>
        <v>1950</v>
      </c>
      <c r="E654" t="s">
        <v>824</v>
      </c>
    </row>
    <row r="655" spans="1:5" x14ac:dyDescent="0.25">
      <c r="A655" t="str">
        <f t="shared" si="33"/>
        <v>17210</v>
      </c>
      <c r="B655" t="s">
        <v>1539</v>
      </c>
      <c r="C655" t="s">
        <v>1548</v>
      </c>
      <c r="D655" t="str">
        <f>"4470"</f>
        <v>4470</v>
      </c>
      <c r="E655" t="s">
        <v>818</v>
      </c>
    </row>
    <row r="656" spans="1:5" x14ac:dyDescent="0.25">
      <c r="A656" t="str">
        <f t="shared" si="33"/>
        <v>17210</v>
      </c>
      <c r="B656" t="s">
        <v>1539</v>
      </c>
      <c r="C656" t="s">
        <v>1549</v>
      </c>
      <c r="D656" t="str">
        <f>"2417"</f>
        <v>2417</v>
      </c>
      <c r="E656" t="s">
        <v>824</v>
      </c>
    </row>
    <row r="657" spans="1:5" x14ac:dyDescent="0.25">
      <c r="A657" t="str">
        <f t="shared" si="33"/>
        <v>17210</v>
      </c>
      <c r="B657" t="s">
        <v>1539</v>
      </c>
      <c r="C657" t="s">
        <v>1550</v>
      </c>
      <c r="D657" t="str">
        <f>"1789"</f>
        <v>1789</v>
      </c>
      <c r="E657" t="s">
        <v>821</v>
      </c>
    </row>
    <row r="658" spans="1:5" x14ac:dyDescent="0.25">
      <c r="A658" t="str">
        <f t="shared" si="33"/>
        <v>17210</v>
      </c>
      <c r="B658" t="s">
        <v>1539</v>
      </c>
      <c r="C658" t="s">
        <v>1551</v>
      </c>
      <c r="D658" t="str">
        <f>"5218"</f>
        <v>5218</v>
      </c>
      <c r="E658" t="s">
        <v>826</v>
      </c>
    </row>
    <row r="659" spans="1:5" x14ac:dyDescent="0.25">
      <c r="A659" t="str">
        <f t="shared" si="33"/>
        <v>17210</v>
      </c>
      <c r="B659" t="s">
        <v>1539</v>
      </c>
      <c r="C659" t="s">
        <v>1552</v>
      </c>
      <c r="D659" t="str">
        <f>"5219"</f>
        <v>5219</v>
      </c>
      <c r="E659" t="s">
        <v>826</v>
      </c>
    </row>
    <row r="660" spans="1:5" x14ac:dyDescent="0.25">
      <c r="A660" t="str">
        <f t="shared" si="33"/>
        <v>17210</v>
      </c>
      <c r="B660" t="s">
        <v>1539</v>
      </c>
      <c r="C660" t="s">
        <v>1553</v>
      </c>
      <c r="D660" t="str">
        <f>"5107"</f>
        <v>5107</v>
      </c>
      <c r="E660" t="s">
        <v>824</v>
      </c>
    </row>
    <row r="661" spans="1:5" x14ac:dyDescent="0.25">
      <c r="A661" t="str">
        <f t="shared" si="33"/>
        <v>17210</v>
      </c>
      <c r="B661" t="s">
        <v>1539</v>
      </c>
      <c r="C661" t="s">
        <v>1554</v>
      </c>
      <c r="D661" t="str">
        <f>"5255"</f>
        <v>5255</v>
      </c>
      <c r="E661" t="s">
        <v>824</v>
      </c>
    </row>
    <row r="662" spans="1:5" x14ac:dyDescent="0.25">
      <c r="A662" t="str">
        <f t="shared" si="33"/>
        <v>17210</v>
      </c>
      <c r="B662" t="s">
        <v>1539</v>
      </c>
      <c r="C662" t="s">
        <v>1555</v>
      </c>
      <c r="D662" t="str">
        <f>"4426"</f>
        <v>4426</v>
      </c>
      <c r="E662" t="s">
        <v>818</v>
      </c>
    </row>
    <row r="663" spans="1:5" x14ac:dyDescent="0.25">
      <c r="A663" t="str">
        <f t="shared" si="33"/>
        <v>17210</v>
      </c>
      <c r="B663" t="s">
        <v>1539</v>
      </c>
      <c r="C663" t="s">
        <v>1556</v>
      </c>
      <c r="D663" t="str">
        <f>"3898"</f>
        <v>3898</v>
      </c>
      <c r="E663" t="s">
        <v>830</v>
      </c>
    </row>
    <row r="664" spans="1:5" x14ac:dyDescent="0.25">
      <c r="A664" t="str">
        <f t="shared" si="33"/>
        <v>17210</v>
      </c>
      <c r="B664" t="s">
        <v>1539</v>
      </c>
      <c r="C664" t="s">
        <v>1557</v>
      </c>
      <c r="D664" t="str">
        <f>"1759"</f>
        <v>1759</v>
      </c>
      <c r="E664" t="s">
        <v>851</v>
      </c>
    </row>
    <row r="665" spans="1:5" x14ac:dyDescent="0.25">
      <c r="A665" t="str">
        <f t="shared" si="33"/>
        <v>17210</v>
      </c>
      <c r="B665" t="s">
        <v>1539</v>
      </c>
      <c r="C665" t="s">
        <v>1558</v>
      </c>
      <c r="D665" t="str">
        <f>"3701"</f>
        <v>3701</v>
      </c>
      <c r="E665" t="s">
        <v>830</v>
      </c>
    </row>
    <row r="666" spans="1:5" x14ac:dyDescent="0.25">
      <c r="A666" t="str">
        <f t="shared" si="33"/>
        <v>17210</v>
      </c>
      <c r="B666" t="s">
        <v>1539</v>
      </c>
      <c r="C666" t="s">
        <v>1559</v>
      </c>
      <c r="D666" t="str">
        <f>"3738"</f>
        <v>3738</v>
      </c>
      <c r="E666" t="s">
        <v>818</v>
      </c>
    </row>
    <row r="667" spans="1:5" x14ac:dyDescent="0.25">
      <c r="A667" t="str">
        <f t="shared" si="33"/>
        <v>17210</v>
      </c>
      <c r="B667" t="s">
        <v>1539</v>
      </c>
      <c r="C667" t="s">
        <v>1560</v>
      </c>
      <c r="D667" t="str">
        <f>"3568"</f>
        <v>3568</v>
      </c>
      <c r="E667" t="s">
        <v>818</v>
      </c>
    </row>
    <row r="668" spans="1:5" x14ac:dyDescent="0.25">
      <c r="A668" t="str">
        <f t="shared" si="33"/>
        <v>17210</v>
      </c>
      <c r="B668" t="s">
        <v>1539</v>
      </c>
      <c r="C668" t="s">
        <v>1561</v>
      </c>
      <c r="D668" t="str">
        <f>"2841"</f>
        <v>2841</v>
      </c>
      <c r="E668" t="s">
        <v>818</v>
      </c>
    </row>
    <row r="669" spans="1:5" x14ac:dyDescent="0.25">
      <c r="A669" t="str">
        <f t="shared" si="33"/>
        <v>17210</v>
      </c>
      <c r="B669" t="s">
        <v>1539</v>
      </c>
      <c r="C669" t="s">
        <v>1562</v>
      </c>
      <c r="D669" t="str">
        <f>"3381"</f>
        <v>3381</v>
      </c>
      <c r="E669" t="s">
        <v>830</v>
      </c>
    </row>
    <row r="670" spans="1:5" x14ac:dyDescent="0.25">
      <c r="A670" t="str">
        <f t="shared" si="33"/>
        <v>17210</v>
      </c>
      <c r="B670" t="s">
        <v>1539</v>
      </c>
      <c r="C670" t="s">
        <v>1563</v>
      </c>
      <c r="D670" t="str">
        <f>"3627"</f>
        <v>3627</v>
      </c>
      <c r="E670" t="s">
        <v>818</v>
      </c>
    </row>
    <row r="671" spans="1:5" x14ac:dyDescent="0.25">
      <c r="A671" t="str">
        <f t="shared" si="33"/>
        <v>17210</v>
      </c>
      <c r="B671" t="s">
        <v>1539</v>
      </c>
      <c r="C671" t="s">
        <v>1564</v>
      </c>
      <c r="D671" t="str">
        <f>"4480"</f>
        <v>4480</v>
      </c>
      <c r="E671" t="s">
        <v>818</v>
      </c>
    </row>
    <row r="672" spans="1:5" x14ac:dyDescent="0.25">
      <c r="A672" t="str">
        <f t="shared" si="33"/>
        <v>17210</v>
      </c>
      <c r="B672" t="s">
        <v>1539</v>
      </c>
      <c r="C672" t="s">
        <v>1565</v>
      </c>
      <c r="D672" t="str">
        <f>"3159"</f>
        <v>3159</v>
      </c>
      <c r="E672" t="s">
        <v>818</v>
      </c>
    </row>
    <row r="673" spans="1:5" x14ac:dyDescent="0.25">
      <c r="A673" t="str">
        <f t="shared" si="33"/>
        <v>17210</v>
      </c>
      <c r="B673" t="s">
        <v>1539</v>
      </c>
      <c r="C673" t="s">
        <v>1566</v>
      </c>
      <c r="D673" t="str">
        <f>"3625"</f>
        <v>3625</v>
      </c>
      <c r="E673" t="s">
        <v>818</v>
      </c>
    </row>
    <row r="674" spans="1:5" x14ac:dyDescent="0.25">
      <c r="A674" t="str">
        <f t="shared" si="33"/>
        <v>17210</v>
      </c>
      <c r="B674" t="s">
        <v>1539</v>
      </c>
      <c r="C674" t="s">
        <v>1567</v>
      </c>
      <c r="D674" t="str">
        <f>"3432"</f>
        <v>3432</v>
      </c>
      <c r="E674" t="s">
        <v>818</v>
      </c>
    </row>
    <row r="675" spans="1:5" x14ac:dyDescent="0.25">
      <c r="A675" t="str">
        <f t="shared" si="33"/>
        <v>17210</v>
      </c>
      <c r="B675" t="s">
        <v>1539</v>
      </c>
      <c r="C675" t="s">
        <v>1568</v>
      </c>
      <c r="D675" t="str">
        <f>"5348"</f>
        <v>5348</v>
      </c>
      <c r="E675" t="s">
        <v>824</v>
      </c>
    </row>
    <row r="676" spans="1:5" x14ac:dyDescent="0.25">
      <c r="A676" t="str">
        <f t="shared" si="33"/>
        <v>17210</v>
      </c>
      <c r="B676" t="s">
        <v>1539</v>
      </c>
      <c r="C676" t="s">
        <v>1569</v>
      </c>
      <c r="D676" t="str">
        <f>"3329"</f>
        <v>3329</v>
      </c>
      <c r="E676" t="s">
        <v>818</v>
      </c>
    </row>
    <row r="677" spans="1:5" x14ac:dyDescent="0.25">
      <c r="A677" t="str">
        <f t="shared" si="33"/>
        <v>17210</v>
      </c>
      <c r="B677" t="s">
        <v>1539</v>
      </c>
      <c r="C677" t="s">
        <v>1570</v>
      </c>
      <c r="D677" t="str">
        <f>"4422"</f>
        <v>4422</v>
      </c>
      <c r="E677" t="s">
        <v>818</v>
      </c>
    </row>
    <row r="678" spans="1:5" x14ac:dyDescent="0.25">
      <c r="A678" t="str">
        <f t="shared" si="33"/>
        <v>17210</v>
      </c>
      <c r="B678" t="s">
        <v>1539</v>
      </c>
      <c r="C678" t="s">
        <v>1571</v>
      </c>
      <c r="D678" t="str">
        <f>"3626"</f>
        <v>3626</v>
      </c>
      <c r="E678" t="s">
        <v>830</v>
      </c>
    </row>
    <row r="679" spans="1:5" x14ac:dyDescent="0.25">
      <c r="A679" t="str">
        <f t="shared" si="33"/>
        <v>17210</v>
      </c>
      <c r="B679" t="s">
        <v>1539</v>
      </c>
      <c r="C679" t="s">
        <v>1572</v>
      </c>
      <c r="D679" t="str">
        <f>"5029"</f>
        <v>5029</v>
      </c>
      <c r="E679" t="s">
        <v>830</v>
      </c>
    </row>
    <row r="680" spans="1:5" x14ac:dyDescent="0.25">
      <c r="A680" t="str">
        <f t="shared" si="33"/>
        <v>17210</v>
      </c>
      <c r="B680" t="s">
        <v>1539</v>
      </c>
      <c r="C680" t="s">
        <v>1573</v>
      </c>
      <c r="D680" t="str">
        <f>"4374"</f>
        <v>4374</v>
      </c>
      <c r="E680" t="s">
        <v>818</v>
      </c>
    </row>
    <row r="681" spans="1:5" x14ac:dyDescent="0.25">
      <c r="A681" t="str">
        <f t="shared" si="33"/>
        <v>17210</v>
      </c>
      <c r="B681" t="s">
        <v>1539</v>
      </c>
      <c r="C681" t="s">
        <v>1574</v>
      </c>
      <c r="D681" t="str">
        <f>"4343"</f>
        <v>4343</v>
      </c>
      <c r="E681" t="s">
        <v>818</v>
      </c>
    </row>
    <row r="682" spans="1:5" x14ac:dyDescent="0.25">
      <c r="A682" t="str">
        <f t="shared" si="33"/>
        <v>17210</v>
      </c>
      <c r="B682" t="s">
        <v>1539</v>
      </c>
      <c r="C682" t="s">
        <v>1575</v>
      </c>
      <c r="D682" t="str">
        <f>"3160"</f>
        <v>3160</v>
      </c>
      <c r="E682" t="s">
        <v>818</v>
      </c>
    </row>
    <row r="683" spans="1:5" x14ac:dyDescent="0.25">
      <c r="A683" t="str">
        <f t="shared" si="33"/>
        <v>17210</v>
      </c>
      <c r="B683" t="s">
        <v>1539</v>
      </c>
      <c r="C683" t="s">
        <v>1576</v>
      </c>
      <c r="D683" t="str">
        <f>"3567"</f>
        <v>3567</v>
      </c>
      <c r="E683" t="s">
        <v>818</v>
      </c>
    </row>
    <row r="684" spans="1:5" x14ac:dyDescent="0.25">
      <c r="A684" t="str">
        <f t="shared" si="33"/>
        <v>17210</v>
      </c>
      <c r="B684" t="s">
        <v>1539</v>
      </c>
      <c r="C684" t="s">
        <v>1577</v>
      </c>
      <c r="D684" t="str">
        <f>"1951"</f>
        <v>1951</v>
      </c>
      <c r="E684" t="s">
        <v>851</v>
      </c>
    </row>
    <row r="685" spans="1:5" x14ac:dyDescent="0.25">
      <c r="A685" t="str">
        <f t="shared" si="33"/>
        <v>17210</v>
      </c>
      <c r="B685" t="s">
        <v>1539</v>
      </c>
      <c r="C685" t="s">
        <v>1578</v>
      </c>
      <c r="D685" t="str">
        <f>"5473"</f>
        <v>5473</v>
      </c>
      <c r="E685" t="s">
        <v>821</v>
      </c>
    </row>
    <row r="686" spans="1:5" x14ac:dyDescent="0.25">
      <c r="A686" t="str">
        <f t="shared" si="33"/>
        <v>17210</v>
      </c>
      <c r="B686" t="s">
        <v>1539</v>
      </c>
      <c r="C686" t="s">
        <v>1579</v>
      </c>
      <c r="D686" t="str">
        <f>"3584"</f>
        <v>3584</v>
      </c>
      <c r="E686" t="s">
        <v>824</v>
      </c>
    </row>
    <row r="687" spans="1:5" x14ac:dyDescent="0.25">
      <c r="A687" t="str">
        <f t="shared" si="33"/>
        <v>17210</v>
      </c>
      <c r="B687" t="s">
        <v>1539</v>
      </c>
      <c r="C687" t="s">
        <v>1580</v>
      </c>
      <c r="D687" t="str">
        <f>"4570"</f>
        <v>4570</v>
      </c>
      <c r="E687" t="s">
        <v>824</v>
      </c>
    </row>
    <row r="688" spans="1:5" x14ac:dyDescent="0.25">
      <c r="A688" t="str">
        <f t="shared" si="33"/>
        <v>17210</v>
      </c>
      <c r="B688" t="s">
        <v>1539</v>
      </c>
      <c r="C688" t="s">
        <v>1581</v>
      </c>
      <c r="D688" t="str">
        <f>"3431"</f>
        <v>3431</v>
      </c>
      <c r="E688" t="s">
        <v>830</v>
      </c>
    </row>
    <row r="689" spans="1:5" x14ac:dyDescent="0.25">
      <c r="A689" t="str">
        <f t="shared" si="33"/>
        <v>17210</v>
      </c>
      <c r="B689" t="s">
        <v>1539</v>
      </c>
      <c r="C689" t="s">
        <v>1582</v>
      </c>
      <c r="D689" t="str">
        <f>"3628"</f>
        <v>3628</v>
      </c>
      <c r="E689" t="s">
        <v>818</v>
      </c>
    </row>
    <row r="690" spans="1:5" x14ac:dyDescent="0.25">
      <c r="A690" t="str">
        <f t="shared" si="33"/>
        <v>17210</v>
      </c>
      <c r="B690" t="s">
        <v>1539</v>
      </c>
      <c r="C690" t="s">
        <v>1583</v>
      </c>
      <c r="D690" t="str">
        <f>"3582"</f>
        <v>3582</v>
      </c>
      <c r="E690" t="s">
        <v>818</v>
      </c>
    </row>
    <row r="691" spans="1:5" x14ac:dyDescent="0.25">
      <c r="A691" t="str">
        <f t="shared" si="33"/>
        <v>17210</v>
      </c>
      <c r="B691" t="s">
        <v>1539</v>
      </c>
      <c r="C691" t="s">
        <v>1584</v>
      </c>
      <c r="D691" t="str">
        <f>"3583"</f>
        <v>3583</v>
      </c>
      <c r="E691" t="s">
        <v>818</v>
      </c>
    </row>
    <row r="692" spans="1:5" x14ac:dyDescent="0.25">
      <c r="A692" t="str">
        <f t="shared" si="33"/>
        <v>17210</v>
      </c>
      <c r="B692" t="s">
        <v>1539</v>
      </c>
      <c r="C692" t="s">
        <v>1585</v>
      </c>
      <c r="D692" t="str">
        <f>"3328"</f>
        <v>3328</v>
      </c>
      <c r="E692" t="s">
        <v>821</v>
      </c>
    </row>
    <row r="693" spans="1:5" x14ac:dyDescent="0.25">
      <c r="A693" t="str">
        <f t="shared" ref="A693:A705" si="34">"37502"</f>
        <v>37502</v>
      </c>
      <c r="B693" t="s">
        <v>1586</v>
      </c>
      <c r="C693" t="s">
        <v>1587</v>
      </c>
      <c r="D693" t="str">
        <f>"2263"</f>
        <v>2263</v>
      </c>
      <c r="E693" t="s">
        <v>818</v>
      </c>
    </row>
    <row r="694" spans="1:5" x14ac:dyDescent="0.25">
      <c r="A694" t="str">
        <f t="shared" si="34"/>
        <v>37502</v>
      </c>
      <c r="B694" t="s">
        <v>1586</v>
      </c>
      <c r="C694" t="s">
        <v>1588</v>
      </c>
      <c r="D694" t="str">
        <f>"5207"</f>
        <v>5207</v>
      </c>
      <c r="E694" t="s">
        <v>818</v>
      </c>
    </row>
    <row r="695" spans="1:5" x14ac:dyDescent="0.25">
      <c r="A695" t="str">
        <f t="shared" si="34"/>
        <v>37502</v>
      </c>
      <c r="B695" t="s">
        <v>1586</v>
      </c>
      <c r="C695" t="s">
        <v>1589</v>
      </c>
      <c r="D695" t="str">
        <f>"2458"</f>
        <v>2458</v>
      </c>
      <c r="E695" t="s">
        <v>818</v>
      </c>
    </row>
    <row r="696" spans="1:5" x14ac:dyDescent="0.25">
      <c r="A696" t="str">
        <f t="shared" si="34"/>
        <v>37502</v>
      </c>
      <c r="B696" t="s">
        <v>1586</v>
      </c>
      <c r="C696" t="s">
        <v>1590</v>
      </c>
      <c r="D696" t="str">
        <f>"2607"</f>
        <v>2607</v>
      </c>
      <c r="E696" t="s">
        <v>818</v>
      </c>
    </row>
    <row r="697" spans="1:5" x14ac:dyDescent="0.25">
      <c r="A697" t="str">
        <f t="shared" si="34"/>
        <v>37502</v>
      </c>
      <c r="B697" t="s">
        <v>1586</v>
      </c>
      <c r="C697" t="s">
        <v>1591</v>
      </c>
      <c r="D697" t="str">
        <f>"4482"</f>
        <v>4482</v>
      </c>
      <c r="E697" t="s">
        <v>818</v>
      </c>
    </row>
    <row r="698" spans="1:5" x14ac:dyDescent="0.25">
      <c r="A698" t="str">
        <f t="shared" si="34"/>
        <v>37502</v>
      </c>
      <c r="B698" t="s">
        <v>1586</v>
      </c>
      <c r="C698" t="s">
        <v>1592</v>
      </c>
      <c r="D698" t="str">
        <f>"5474"</f>
        <v>5474</v>
      </c>
      <c r="E698" t="s">
        <v>821</v>
      </c>
    </row>
    <row r="699" spans="1:5" x14ac:dyDescent="0.25">
      <c r="A699" t="str">
        <f t="shared" si="34"/>
        <v>37502</v>
      </c>
      <c r="B699" t="s">
        <v>1586</v>
      </c>
      <c r="C699" t="s">
        <v>1593</v>
      </c>
      <c r="D699" t="str">
        <f>"2488"</f>
        <v>2488</v>
      </c>
      <c r="E699" t="s">
        <v>824</v>
      </c>
    </row>
    <row r="700" spans="1:5" x14ac:dyDescent="0.25">
      <c r="A700" t="str">
        <f t="shared" si="34"/>
        <v>37502</v>
      </c>
      <c r="B700" t="s">
        <v>1586</v>
      </c>
      <c r="C700" t="s">
        <v>1594</v>
      </c>
      <c r="D700" t="str">
        <f>"5464"</f>
        <v>5464</v>
      </c>
      <c r="E700" t="s">
        <v>824</v>
      </c>
    </row>
    <row r="701" spans="1:5" x14ac:dyDescent="0.25">
      <c r="A701" t="str">
        <f t="shared" si="34"/>
        <v>37502</v>
      </c>
      <c r="B701" t="s">
        <v>1586</v>
      </c>
      <c r="C701" t="s">
        <v>1595</v>
      </c>
      <c r="D701" t="str">
        <f>"5084"</f>
        <v>5084</v>
      </c>
      <c r="E701" t="s">
        <v>826</v>
      </c>
    </row>
    <row r="702" spans="1:5" x14ac:dyDescent="0.25">
      <c r="A702" t="str">
        <f t="shared" si="34"/>
        <v>37502</v>
      </c>
      <c r="B702" t="s">
        <v>1586</v>
      </c>
      <c r="C702" t="s">
        <v>1139</v>
      </c>
      <c r="D702" t="str">
        <f>"4554"</f>
        <v>4554</v>
      </c>
      <c r="E702" t="s">
        <v>830</v>
      </c>
    </row>
    <row r="703" spans="1:5" x14ac:dyDescent="0.25">
      <c r="A703" t="str">
        <f t="shared" si="34"/>
        <v>37502</v>
      </c>
      <c r="B703" t="s">
        <v>1586</v>
      </c>
      <c r="C703" t="s">
        <v>1596</v>
      </c>
      <c r="D703" t="str">
        <f>"4130"</f>
        <v>4130</v>
      </c>
      <c r="E703" t="s">
        <v>818</v>
      </c>
    </row>
    <row r="704" spans="1:5" x14ac:dyDescent="0.25">
      <c r="A704" t="str">
        <f t="shared" si="34"/>
        <v>37502</v>
      </c>
      <c r="B704" t="s">
        <v>1586</v>
      </c>
      <c r="C704" t="s">
        <v>1597</v>
      </c>
      <c r="D704" t="str">
        <f>"3762"</f>
        <v>3762</v>
      </c>
      <c r="E704" t="s">
        <v>830</v>
      </c>
    </row>
    <row r="705" spans="1:5" x14ac:dyDescent="0.25">
      <c r="A705" t="str">
        <f t="shared" si="34"/>
        <v>37502</v>
      </c>
      <c r="B705" t="s">
        <v>1586</v>
      </c>
      <c r="C705" t="s">
        <v>1598</v>
      </c>
      <c r="D705" t="str">
        <f>"5245"</f>
        <v>5245</v>
      </c>
      <c r="E705" t="s">
        <v>824</v>
      </c>
    </row>
    <row r="706" spans="1:5" x14ac:dyDescent="0.25">
      <c r="A706" t="str">
        <f t="shared" ref="A706:A711" si="35">"27417"</f>
        <v>27417</v>
      </c>
      <c r="B706" t="s">
        <v>1599</v>
      </c>
      <c r="C706" t="s">
        <v>1600</v>
      </c>
      <c r="D706" t="str">
        <f>"4582"</f>
        <v>4582</v>
      </c>
      <c r="E706" t="s">
        <v>824</v>
      </c>
    </row>
    <row r="707" spans="1:5" x14ac:dyDescent="0.25">
      <c r="A707" t="str">
        <f t="shared" si="35"/>
        <v>27417</v>
      </c>
      <c r="B707" t="s">
        <v>1599</v>
      </c>
      <c r="C707" t="s">
        <v>1601</v>
      </c>
      <c r="D707" t="str">
        <f>"2878"</f>
        <v>2878</v>
      </c>
      <c r="E707" t="s">
        <v>818</v>
      </c>
    </row>
    <row r="708" spans="1:5" x14ac:dyDescent="0.25">
      <c r="A708" t="str">
        <f t="shared" si="35"/>
        <v>27417</v>
      </c>
      <c r="B708" t="s">
        <v>1599</v>
      </c>
      <c r="C708" t="s">
        <v>1602</v>
      </c>
      <c r="D708" t="str">
        <f>"2809"</f>
        <v>2809</v>
      </c>
      <c r="E708" t="s">
        <v>818</v>
      </c>
    </row>
    <row r="709" spans="1:5" x14ac:dyDescent="0.25">
      <c r="A709" t="str">
        <f t="shared" si="35"/>
        <v>27417</v>
      </c>
      <c r="B709" t="s">
        <v>1599</v>
      </c>
      <c r="C709" t="s">
        <v>1603</v>
      </c>
      <c r="D709" t="str">
        <f>"2773"</f>
        <v>2773</v>
      </c>
      <c r="E709" t="s">
        <v>824</v>
      </c>
    </row>
    <row r="710" spans="1:5" x14ac:dyDescent="0.25">
      <c r="A710" t="str">
        <f t="shared" si="35"/>
        <v>27417</v>
      </c>
      <c r="B710" t="s">
        <v>1599</v>
      </c>
      <c r="C710" t="s">
        <v>1604</v>
      </c>
      <c r="D710" t="str">
        <f>"4557"</f>
        <v>4557</v>
      </c>
      <c r="E710" t="s">
        <v>818</v>
      </c>
    </row>
    <row r="711" spans="1:5" x14ac:dyDescent="0.25">
      <c r="A711" t="str">
        <f t="shared" si="35"/>
        <v>27417</v>
      </c>
      <c r="B711" t="s">
        <v>1599</v>
      </c>
      <c r="C711" t="s">
        <v>1605</v>
      </c>
      <c r="D711" t="str">
        <f>"3798"</f>
        <v>3798</v>
      </c>
      <c r="E711" t="s">
        <v>830</v>
      </c>
    </row>
    <row r="712" spans="1:5" x14ac:dyDescent="0.25">
      <c r="A712" t="str">
        <f>"03053"</f>
        <v>03053</v>
      </c>
      <c r="B712" t="s">
        <v>1606</v>
      </c>
      <c r="C712" t="s">
        <v>1607</v>
      </c>
      <c r="D712" t="str">
        <f>"3078"</f>
        <v>3078</v>
      </c>
      <c r="E712" t="s">
        <v>818</v>
      </c>
    </row>
    <row r="713" spans="1:5" x14ac:dyDescent="0.25">
      <c r="A713" t="str">
        <f>"03053"</f>
        <v>03053</v>
      </c>
      <c r="B713" t="s">
        <v>1606</v>
      </c>
      <c r="C713" t="s">
        <v>1608</v>
      </c>
      <c r="D713" t="str">
        <f>"4031"</f>
        <v>4031</v>
      </c>
      <c r="E713" t="s">
        <v>830</v>
      </c>
    </row>
    <row r="714" spans="1:5" x14ac:dyDescent="0.25">
      <c r="A714" t="str">
        <f>"03053"</f>
        <v>03053</v>
      </c>
      <c r="B714" t="s">
        <v>1606</v>
      </c>
      <c r="C714" t="s">
        <v>1609</v>
      </c>
      <c r="D714" t="str">
        <f>"2367"</f>
        <v>2367</v>
      </c>
      <c r="E714" t="s">
        <v>824</v>
      </c>
    </row>
    <row r="715" spans="1:5" x14ac:dyDescent="0.25">
      <c r="A715" t="str">
        <f t="shared" ref="A715:A729" si="36">"27402"</f>
        <v>27402</v>
      </c>
      <c r="B715" t="s">
        <v>1610</v>
      </c>
      <c r="C715" t="s">
        <v>1611</v>
      </c>
      <c r="D715" t="str">
        <f>"3180"</f>
        <v>3180</v>
      </c>
      <c r="E715" t="s">
        <v>818</v>
      </c>
    </row>
    <row r="716" spans="1:5" x14ac:dyDescent="0.25">
      <c r="A716" t="str">
        <f t="shared" si="36"/>
        <v>27402</v>
      </c>
      <c r="B716" t="s">
        <v>1610</v>
      </c>
      <c r="C716" t="s">
        <v>1612</v>
      </c>
      <c r="D716" t="str">
        <f>"2398"</f>
        <v>2398</v>
      </c>
      <c r="E716" t="s">
        <v>818</v>
      </c>
    </row>
    <row r="717" spans="1:5" x14ac:dyDescent="0.25">
      <c r="A717" t="str">
        <f t="shared" si="36"/>
        <v>27402</v>
      </c>
      <c r="B717" t="s">
        <v>1610</v>
      </c>
      <c r="C717" t="s">
        <v>1613</v>
      </c>
      <c r="D717" t="str">
        <f>"3301"</f>
        <v>3301</v>
      </c>
      <c r="E717" t="s">
        <v>818</v>
      </c>
    </row>
    <row r="718" spans="1:5" x14ac:dyDescent="0.25">
      <c r="A718" t="str">
        <f t="shared" si="36"/>
        <v>27402</v>
      </c>
      <c r="B718" t="s">
        <v>1610</v>
      </c>
      <c r="C718" t="s">
        <v>1614</v>
      </c>
      <c r="D718" t="str">
        <f>"2257"</f>
        <v>2257</v>
      </c>
      <c r="E718" t="s">
        <v>818</v>
      </c>
    </row>
    <row r="719" spans="1:5" x14ac:dyDescent="0.25">
      <c r="A719" t="str">
        <f t="shared" si="36"/>
        <v>27402</v>
      </c>
      <c r="B719" t="s">
        <v>1610</v>
      </c>
      <c r="C719" t="s">
        <v>1164</v>
      </c>
      <c r="D719" t="str">
        <f>"5436"</f>
        <v>5436</v>
      </c>
      <c r="E719" t="s">
        <v>826</v>
      </c>
    </row>
    <row r="720" spans="1:5" x14ac:dyDescent="0.25">
      <c r="A720" t="str">
        <f t="shared" si="36"/>
        <v>27402</v>
      </c>
      <c r="B720" t="s">
        <v>1610</v>
      </c>
      <c r="C720" t="s">
        <v>1615</v>
      </c>
      <c r="D720" t="str">
        <f>"3532"</f>
        <v>3532</v>
      </c>
      <c r="E720" t="s">
        <v>818</v>
      </c>
    </row>
    <row r="721" spans="1:5" x14ac:dyDescent="0.25">
      <c r="A721" t="str">
        <f t="shared" si="36"/>
        <v>27402</v>
      </c>
      <c r="B721" t="s">
        <v>1610</v>
      </c>
      <c r="C721" t="s">
        <v>1616</v>
      </c>
      <c r="D721" t="str">
        <f>"2876"</f>
        <v>2876</v>
      </c>
      <c r="E721" t="s">
        <v>824</v>
      </c>
    </row>
    <row r="722" spans="1:5" x14ac:dyDescent="0.25">
      <c r="A722" t="str">
        <f t="shared" si="36"/>
        <v>27402</v>
      </c>
      <c r="B722" t="s">
        <v>1610</v>
      </c>
      <c r="C722" t="s">
        <v>1617</v>
      </c>
      <c r="D722" t="str">
        <f>"4063"</f>
        <v>4063</v>
      </c>
      <c r="E722" t="s">
        <v>824</v>
      </c>
    </row>
    <row r="723" spans="1:5" x14ac:dyDescent="0.25">
      <c r="A723" t="str">
        <f t="shared" si="36"/>
        <v>27402</v>
      </c>
      <c r="B723" t="s">
        <v>1610</v>
      </c>
      <c r="C723" t="s">
        <v>1618</v>
      </c>
      <c r="D723" t="str">
        <f>"3000"</f>
        <v>3000</v>
      </c>
      <c r="E723" t="s">
        <v>818</v>
      </c>
    </row>
    <row r="724" spans="1:5" x14ac:dyDescent="0.25">
      <c r="A724" t="str">
        <f t="shared" si="36"/>
        <v>27402</v>
      </c>
      <c r="B724" t="s">
        <v>1610</v>
      </c>
      <c r="C724" t="s">
        <v>1619</v>
      </c>
      <c r="D724" t="str">
        <f>"2945"</f>
        <v>2945</v>
      </c>
      <c r="E724" t="s">
        <v>818</v>
      </c>
    </row>
    <row r="725" spans="1:5" x14ac:dyDescent="0.25">
      <c r="A725" t="str">
        <f t="shared" si="36"/>
        <v>27402</v>
      </c>
      <c r="B725" t="s">
        <v>1610</v>
      </c>
      <c r="C725" t="s">
        <v>1620</v>
      </c>
      <c r="D725" t="str">
        <f>"5129"</f>
        <v>5129</v>
      </c>
      <c r="E725" t="s">
        <v>826</v>
      </c>
    </row>
    <row r="726" spans="1:5" x14ac:dyDescent="0.25">
      <c r="A726" t="str">
        <f t="shared" si="36"/>
        <v>27402</v>
      </c>
      <c r="B726" t="s">
        <v>1610</v>
      </c>
      <c r="C726" t="s">
        <v>1621</v>
      </c>
      <c r="D726" t="str">
        <f>"2340"</f>
        <v>2340</v>
      </c>
      <c r="E726" t="s">
        <v>818</v>
      </c>
    </row>
    <row r="727" spans="1:5" x14ac:dyDescent="0.25">
      <c r="A727" t="str">
        <f t="shared" si="36"/>
        <v>27402</v>
      </c>
      <c r="B727" t="s">
        <v>1610</v>
      </c>
      <c r="C727" t="s">
        <v>1622</v>
      </c>
      <c r="D727" t="str">
        <f>"3300"</f>
        <v>3300</v>
      </c>
      <c r="E727" t="s">
        <v>830</v>
      </c>
    </row>
    <row r="728" spans="1:5" x14ac:dyDescent="0.25">
      <c r="A728" t="str">
        <f t="shared" si="36"/>
        <v>27402</v>
      </c>
      <c r="B728" t="s">
        <v>1610</v>
      </c>
      <c r="C728" t="s">
        <v>1623</v>
      </c>
      <c r="D728" t="str">
        <f>"3401"</f>
        <v>3401</v>
      </c>
      <c r="E728" t="s">
        <v>830</v>
      </c>
    </row>
    <row r="729" spans="1:5" x14ac:dyDescent="0.25">
      <c r="A729" t="str">
        <f t="shared" si="36"/>
        <v>27402</v>
      </c>
      <c r="B729" t="s">
        <v>1610</v>
      </c>
      <c r="C729" t="s">
        <v>1624</v>
      </c>
      <c r="D729" t="str">
        <f>"3648"</f>
        <v>3648</v>
      </c>
      <c r="E729" t="s">
        <v>824</v>
      </c>
    </row>
    <row r="730" spans="1:5" x14ac:dyDescent="0.25">
      <c r="A730" t="str">
        <f>"32358"</f>
        <v>32358</v>
      </c>
      <c r="B730" t="s">
        <v>1625</v>
      </c>
      <c r="C730" t="s">
        <v>1626</v>
      </c>
      <c r="D730" t="str">
        <f>"3794"</f>
        <v>3794</v>
      </c>
      <c r="E730" t="s">
        <v>818</v>
      </c>
    </row>
    <row r="731" spans="1:5" x14ac:dyDescent="0.25">
      <c r="A731" t="str">
        <f>"32358"</f>
        <v>32358</v>
      </c>
      <c r="B731" t="s">
        <v>1625</v>
      </c>
      <c r="C731" t="s">
        <v>1627</v>
      </c>
      <c r="D731" t="str">
        <f>"3192"</f>
        <v>3192</v>
      </c>
      <c r="E731" t="s">
        <v>824</v>
      </c>
    </row>
    <row r="732" spans="1:5" x14ac:dyDescent="0.25">
      <c r="A732" t="str">
        <f>"32358"</f>
        <v>32358</v>
      </c>
      <c r="B732" t="s">
        <v>1625</v>
      </c>
      <c r="C732" t="s">
        <v>1628</v>
      </c>
      <c r="D732" t="str">
        <f>"4593"</f>
        <v>4593</v>
      </c>
      <c r="E732" t="s">
        <v>830</v>
      </c>
    </row>
    <row r="733" spans="1:5" x14ac:dyDescent="0.25">
      <c r="A733" t="str">
        <f>"38302"</f>
        <v>38302</v>
      </c>
      <c r="B733" t="s">
        <v>1629</v>
      </c>
      <c r="C733" t="s">
        <v>1630</v>
      </c>
      <c r="D733" t="str">
        <f>"1962"</f>
        <v>1962</v>
      </c>
      <c r="E733" t="s">
        <v>824</v>
      </c>
    </row>
    <row r="734" spans="1:5" x14ac:dyDescent="0.25">
      <c r="A734" t="str">
        <f>"38302"</f>
        <v>38302</v>
      </c>
      <c r="B734" t="s">
        <v>1629</v>
      </c>
      <c r="C734" t="s">
        <v>1631</v>
      </c>
      <c r="D734" t="str">
        <f>"2895"</f>
        <v>2895</v>
      </c>
      <c r="E734" t="s">
        <v>818</v>
      </c>
    </row>
    <row r="735" spans="1:5" x14ac:dyDescent="0.25">
      <c r="A735" t="str">
        <f>"38302"</f>
        <v>38302</v>
      </c>
      <c r="B735" t="s">
        <v>1629</v>
      </c>
      <c r="C735" t="s">
        <v>1632</v>
      </c>
      <c r="D735" t="str">
        <f>"2896"</f>
        <v>2896</v>
      </c>
      <c r="E735" t="s">
        <v>830</v>
      </c>
    </row>
    <row r="736" spans="1:5" x14ac:dyDescent="0.25">
      <c r="A736" t="str">
        <f>"20401"</f>
        <v>20401</v>
      </c>
      <c r="B736" t="s">
        <v>1633</v>
      </c>
      <c r="C736" t="s">
        <v>1634</v>
      </c>
      <c r="D736" t="str">
        <f>"3047"</f>
        <v>3047</v>
      </c>
      <c r="E736" t="s">
        <v>818</v>
      </c>
    </row>
    <row r="737" spans="1:5" x14ac:dyDescent="0.25">
      <c r="A737" t="str">
        <f>"20401"</f>
        <v>20401</v>
      </c>
      <c r="B737" t="s">
        <v>1633</v>
      </c>
      <c r="C737" t="s">
        <v>1635</v>
      </c>
      <c r="D737" t="str">
        <f>"3048"</f>
        <v>3048</v>
      </c>
      <c r="E737" t="s">
        <v>821</v>
      </c>
    </row>
    <row r="738" spans="1:5" x14ac:dyDescent="0.25">
      <c r="A738" t="str">
        <f>"20404"</f>
        <v>20404</v>
      </c>
      <c r="B738" t="s">
        <v>1636</v>
      </c>
      <c r="C738" t="s">
        <v>1637</v>
      </c>
      <c r="D738" t="str">
        <f>"2856"</f>
        <v>2856</v>
      </c>
      <c r="E738" t="s">
        <v>824</v>
      </c>
    </row>
    <row r="739" spans="1:5" x14ac:dyDescent="0.25">
      <c r="A739" t="str">
        <f>"20404"</f>
        <v>20404</v>
      </c>
      <c r="B739" t="s">
        <v>1636</v>
      </c>
      <c r="C739" t="s">
        <v>1638</v>
      </c>
      <c r="D739" t="str">
        <f>"3393"</f>
        <v>3393</v>
      </c>
      <c r="E739" t="s">
        <v>830</v>
      </c>
    </row>
    <row r="740" spans="1:5" x14ac:dyDescent="0.25">
      <c r="A740" t="str">
        <f>"20404"</f>
        <v>20404</v>
      </c>
      <c r="B740" t="s">
        <v>1636</v>
      </c>
      <c r="C740" t="s">
        <v>1639</v>
      </c>
      <c r="D740" t="str">
        <f>"2677"</f>
        <v>2677</v>
      </c>
      <c r="E740" t="s">
        <v>818</v>
      </c>
    </row>
    <row r="741" spans="1:5" x14ac:dyDescent="0.25">
      <c r="A741" t="str">
        <f>"20404"</f>
        <v>20404</v>
      </c>
      <c r="B741" t="s">
        <v>1636</v>
      </c>
      <c r="C741" t="s">
        <v>1640</v>
      </c>
      <c r="D741" t="str">
        <f>"5012"</f>
        <v>5012</v>
      </c>
      <c r="E741" t="s">
        <v>826</v>
      </c>
    </row>
    <row r="742" spans="1:5" x14ac:dyDescent="0.25">
      <c r="A742" t="str">
        <f>"13301"</f>
        <v>13301</v>
      </c>
      <c r="B742" t="s">
        <v>1641</v>
      </c>
      <c r="C742" t="s">
        <v>1642</v>
      </c>
      <c r="D742" t="str">
        <f>"5336"</f>
        <v>5336</v>
      </c>
      <c r="E742" t="s">
        <v>824</v>
      </c>
    </row>
    <row r="743" spans="1:5" x14ac:dyDescent="0.25">
      <c r="A743" t="str">
        <f>"13301"</f>
        <v>13301</v>
      </c>
      <c r="B743" t="s">
        <v>1641</v>
      </c>
      <c r="C743" t="s">
        <v>1643</v>
      </c>
      <c r="D743" t="str">
        <f>"2802"</f>
        <v>2802</v>
      </c>
      <c r="E743" t="s">
        <v>818</v>
      </c>
    </row>
    <row r="744" spans="1:5" x14ac:dyDescent="0.25">
      <c r="A744" t="str">
        <f>"13301"</f>
        <v>13301</v>
      </c>
      <c r="B744" t="s">
        <v>1641</v>
      </c>
      <c r="C744" t="s">
        <v>1644</v>
      </c>
      <c r="D744" t="str">
        <f>"2801"</f>
        <v>2801</v>
      </c>
      <c r="E744" t="s">
        <v>821</v>
      </c>
    </row>
    <row r="745" spans="1:5" x14ac:dyDescent="0.25">
      <c r="A745" t="str">
        <f t="shared" ref="A745:A751" si="37">"39200"</f>
        <v>39200</v>
      </c>
      <c r="B745" t="s">
        <v>1645</v>
      </c>
      <c r="C745" t="s">
        <v>1646</v>
      </c>
      <c r="D745" t="str">
        <f>"1776"</f>
        <v>1776</v>
      </c>
      <c r="E745" t="s">
        <v>824</v>
      </c>
    </row>
    <row r="746" spans="1:5" x14ac:dyDescent="0.25">
      <c r="A746" t="str">
        <f t="shared" si="37"/>
        <v>39200</v>
      </c>
      <c r="B746" t="s">
        <v>1645</v>
      </c>
      <c r="C746" t="s">
        <v>1647</v>
      </c>
      <c r="D746" t="str">
        <f>"2555"</f>
        <v>2555</v>
      </c>
      <c r="E746" t="s">
        <v>824</v>
      </c>
    </row>
    <row r="747" spans="1:5" x14ac:dyDescent="0.25">
      <c r="A747" t="str">
        <f t="shared" si="37"/>
        <v>39200</v>
      </c>
      <c r="B747" t="s">
        <v>1645</v>
      </c>
      <c r="C747" t="s">
        <v>1648</v>
      </c>
      <c r="D747" t="str">
        <f>"3071"</f>
        <v>3071</v>
      </c>
      <c r="E747" t="s">
        <v>830</v>
      </c>
    </row>
    <row r="748" spans="1:5" x14ac:dyDescent="0.25">
      <c r="A748" t="str">
        <f t="shared" si="37"/>
        <v>39200</v>
      </c>
      <c r="B748" t="s">
        <v>1645</v>
      </c>
      <c r="C748" t="s">
        <v>1649</v>
      </c>
      <c r="D748" t="str">
        <f>"2345"</f>
        <v>2345</v>
      </c>
      <c r="E748" t="s">
        <v>818</v>
      </c>
    </row>
    <row r="749" spans="1:5" x14ac:dyDescent="0.25">
      <c r="A749" t="str">
        <f t="shared" si="37"/>
        <v>39200</v>
      </c>
      <c r="B749" t="s">
        <v>1645</v>
      </c>
      <c r="C749" t="s">
        <v>1650</v>
      </c>
      <c r="D749" t="str">
        <f>"3013"</f>
        <v>3013</v>
      </c>
      <c r="E749" t="s">
        <v>818</v>
      </c>
    </row>
    <row r="750" spans="1:5" x14ac:dyDescent="0.25">
      <c r="A750" t="str">
        <f t="shared" si="37"/>
        <v>39200</v>
      </c>
      <c r="B750" t="s">
        <v>1645</v>
      </c>
      <c r="C750" t="s">
        <v>1651</v>
      </c>
      <c r="D750" t="str">
        <f>"5399"</f>
        <v>5399</v>
      </c>
      <c r="E750" t="s">
        <v>824</v>
      </c>
    </row>
    <row r="751" spans="1:5" x14ac:dyDescent="0.25">
      <c r="A751" t="str">
        <f t="shared" si="37"/>
        <v>39200</v>
      </c>
      <c r="B751" t="s">
        <v>1645</v>
      </c>
      <c r="C751" t="s">
        <v>1652</v>
      </c>
      <c r="D751" t="str">
        <f>"2756"</f>
        <v>2756</v>
      </c>
      <c r="E751" t="s">
        <v>818</v>
      </c>
    </row>
    <row r="752" spans="1:5" x14ac:dyDescent="0.25">
      <c r="A752" t="str">
        <f>"39204"</f>
        <v>39204</v>
      </c>
      <c r="B752" t="s">
        <v>1653</v>
      </c>
      <c r="C752" t="s">
        <v>1654</v>
      </c>
      <c r="D752" t="str">
        <f>"3314"</f>
        <v>3314</v>
      </c>
      <c r="E752" t="s">
        <v>824</v>
      </c>
    </row>
    <row r="753" spans="1:5" x14ac:dyDescent="0.25">
      <c r="A753" t="str">
        <f>"39204"</f>
        <v>39204</v>
      </c>
      <c r="B753" t="s">
        <v>1653</v>
      </c>
      <c r="C753" t="s">
        <v>1655</v>
      </c>
      <c r="D753" t="str">
        <f>"2531"</f>
        <v>2531</v>
      </c>
      <c r="E753" t="s">
        <v>830</v>
      </c>
    </row>
    <row r="754" spans="1:5" x14ac:dyDescent="0.25">
      <c r="A754" t="str">
        <f>"39204"</f>
        <v>39204</v>
      </c>
      <c r="B754" t="s">
        <v>1653</v>
      </c>
      <c r="C754" t="s">
        <v>1656</v>
      </c>
      <c r="D754" t="str">
        <f>"4535"</f>
        <v>4535</v>
      </c>
      <c r="E754" t="s">
        <v>818</v>
      </c>
    </row>
    <row r="755" spans="1:5" x14ac:dyDescent="0.25">
      <c r="A755" t="str">
        <f t="shared" ref="A755:A760" si="38">"31332"</f>
        <v>31332</v>
      </c>
      <c r="B755" t="s">
        <v>1657</v>
      </c>
      <c r="C755" t="s">
        <v>1658</v>
      </c>
      <c r="D755" t="str">
        <f>"5171"</f>
        <v>5171</v>
      </c>
      <c r="E755" t="s">
        <v>824</v>
      </c>
    </row>
    <row r="756" spans="1:5" x14ac:dyDescent="0.25">
      <c r="A756" t="str">
        <f t="shared" si="38"/>
        <v>31332</v>
      </c>
      <c r="B756" t="s">
        <v>1657</v>
      </c>
      <c r="C756" t="s">
        <v>1659</v>
      </c>
      <c r="D756" t="str">
        <f>"2580"</f>
        <v>2580</v>
      </c>
      <c r="E756" t="s">
        <v>824</v>
      </c>
    </row>
    <row r="757" spans="1:5" x14ac:dyDescent="0.25">
      <c r="A757" t="str">
        <f t="shared" si="38"/>
        <v>31332</v>
      </c>
      <c r="B757" t="s">
        <v>1657</v>
      </c>
      <c r="C757" t="s">
        <v>1660</v>
      </c>
      <c r="D757" t="str">
        <f>"4113"</f>
        <v>4113</v>
      </c>
      <c r="E757" t="s">
        <v>830</v>
      </c>
    </row>
    <row r="758" spans="1:5" x14ac:dyDescent="0.25">
      <c r="A758" t="str">
        <f t="shared" si="38"/>
        <v>31332</v>
      </c>
      <c r="B758" t="s">
        <v>1657</v>
      </c>
      <c r="C758" t="s">
        <v>1661</v>
      </c>
      <c r="D758" t="str">
        <f>"5349"</f>
        <v>5349</v>
      </c>
      <c r="E758" t="s">
        <v>824</v>
      </c>
    </row>
    <row r="759" spans="1:5" x14ac:dyDescent="0.25">
      <c r="A759" t="str">
        <f t="shared" si="38"/>
        <v>31332</v>
      </c>
      <c r="B759" t="s">
        <v>1657</v>
      </c>
      <c r="C759" t="s">
        <v>1662</v>
      </c>
      <c r="D759" t="str">
        <f>"4479"</f>
        <v>4479</v>
      </c>
      <c r="E759" t="s">
        <v>818</v>
      </c>
    </row>
    <row r="760" spans="1:5" x14ac:dyDescent="0.25">
      <c r="A760" t="str">
        <f t="shared" si="38"/>
        <v>31332</v>
      </c>
      <c r="B760" t="s">
        <v>1657</v>
      </c>
      <c r="C760" t="s">
        <v>1663</v>
      </c>
      <c r="D760" t="str">
        <f>"4330"</f>
        <v>4330</v>
      </c>
      <c r="E760" t="s">
        <v>818</v>
      </c>
    </row>
    <row r="761" spans="1:5" x14ac:dyDescent="0.25">
      <c r="A761" t="str">
        <f>"23054"</f>
        <v>23054</v>
      </c>
      <c r="B761" t="s">
        <v>1664</v>
      </c>
      <c r="C761" t="s">
        <v>1665</v>
      </c>
      <c r="D761" t="str">
        <f>"2145"</f>
        <v>2145</v>
      </c>
      <c r="E761" t="s">
        <v>821</v>
      </c>
    </row>
    <row r="762" spans="1:5" x14ac:dyDescent="0.25">
      <c r="A762" t="str">
        <f>"32312"</f>
        <v>32312</v>
      </c>
      <c r="B762" t="s">
        <v>1666</v>
      </c>
      <c r="C762" t="s">
        <v>1667</v>
      </c>
      <c r="D762" t="str">
        <f>"2097"</f>
        <v>2097</v>
      </c>
      <c r="E762" t="s">
        <v>818</v>
      </c>
    </row>
    <row r="763" spans="1:5" x14ac:dyDescent="0.25">
      <c r="A763" t="str">
        <f>"27904"</f>
        <v>27904</v>
      </c>
      <c r="B763" t="s">
        <v>1668</v>
      </c>
      <c r="C763" t="s">
        <v>1669</v>
      </c>
      <c r="D763" t="str">
        <f>"5378"</f>
        <v>5378</v>
      </c>
      <c r="E763" t="s">
        <v>830</v>
      </c>
    </row>
    <row r="764" spans="1:5" x14ac:dyDescent="0.25">
      <c r="A764" t="str">
        <f>"17906"</f>
        <v>17906</v>
      </c>
      <c r="B764" t="s">
        <v>1670</v>
      </c>
      <c r="C764" t="s">
        <v>1671</v>
      </c>
      <c r="D764" t="str">
        <f>"5377"</f>
        <v>5377</v>
      </c>
      <c r="E764" t="s">
        <v>1006</v>
      </c>
    </row>
    <row r="765" spans="1:5" x14ac:dyDescent="0.25">
      <c r="A765" t="str">
        <f>"17910"</f>
        <v>17910</v>
      </c>
      <c r="B765" t="s">
        <v>1672</v>
      </c>
      <c r="C765" t="s">
        <v>1673</v>
      </c>
      <c r="D765" t="str">
        <f>"5468"</f>
        <v>5468</v>
      </c>
      <c r="E765" t="s">
        <v>830</v>
      </c>
    </row>
    <row r="766" spans="1:5" x14ac:dyDescent="0.25">
      <c r="A766" t="str">
        <f>"06103"</f>
        <v>06103</v>
      </c>
      <c r="B766" t="s">
        <v>1674</v>
      </c>
      <c r="C766" t="s">
        <v>1675</v>
      </c>
      <c r="D766" t="str">
        <f>"2484"</f>
        <v>2484</v>
      </c>
      <c r="E766" t="s">
        <v>821</v>
      </c>
    </row>
    <row r="767" spans="1:5" x14ac:dyDescent="0.25">
      <c r="A767" t="str">
        <f>"34324"</f>
        <v>34324</v>
      </c>
      <c r="B767" t="s">
        <v>1676</v>
      </c>
      <c r="C767" t="s">
        <v>1677</v>
      </c>
      <c r="D767" t="str">
        <f>"2406"</f>
        <v>2406</v>
      </c>
      <c r="E767" t="s">
        <v>821</v>
      </c>
    </row>
    <row r="768" spans="1:5" x14ac:dyDescent="0.25">
      <c r="A768" t="str">
        <f>"22204"</f>
        <v>22204</v>
      </c>
      <c r="B768" t="s">
        <v>1678</v>
      </c>
      <c r="C768" t="s">
        <v>1679</v>
      </c>
      <c r="D768" t="str">
        <f>"2743"</f>
        <v>2743</v>
      </c>
      <c r="E768" t="s">
        <v>818</v>
      </c>
    </row>
    <row r="769" spans="1:5" x14ac:dyDescent="0.25">
      <c r="A769" t="str">
        <f>"22204"</f>
        <v>22204</v>
      </c>
      <c r="B769" t="s">
        <v>1678</v>
      </c>
      <c r="C769" t="s">
        <v>1680</v>
      </c>
      <c r="D769" t="str">
        <f>"3113"</f>
        <v>3113</v>
      </c>
      <c r="E769" t="s">
        <v>821</v>
      </c>
    </row>
    <row r="770" spans="1:5" x14ac:dyDescent="0.25">
      <c r="A770" t="str">
        <f>"39203"</f>
        <v>39203</v>
      </c>
      <c r="B770" t="s">
        <v>1681</v>
      </c>
      <c r="C770" t="s">
        <v>1682</v>
      </c>
      <c r="D770" t="str">
        <f>"4559"</f>
        <v>4559</v>
      </c>
      <c r="E770" t="s">
        <v>824</v>
      </c>
    </row>
    <row r="771" spans="1:5" x14ac:dyDescent="0.25">
      <c r="A771" t="str">
        <f>"39203"</f>
        <v>39203</v>
      </c>
      <c r="B771" t="s">
        <v>1681</v>
      </c>
      <c r="C771" t="s">
        <v>1683</v>
      </c>
      <c r="D771" t="str">
        <f>"2718"</f>
        <v>2718</v>
      </c>
      <c r="E771" t="s">
        <v>1006</v>
      </c>
    </row>
    <row r="772" spans="1:5" x14ac:dyDescent="0.25">
      <c r="A772" t="str">
        <f>"39203"</f>
        <v>39203</v>
      </c>
      <c r="B772" t="s">
        <v>1681</v>
      </c>
      <c r="C772" t="s">
        <v>1684</v>
      </c>
      <c r="D772" t="str">
        <f>"3072"</f>
        <v>3072</v>
      </c>
      <c r="E772" t="s">
        <v>818</v>
      </c>
    </row>
    <row r="773" spans="1:5" x14ac:dyDescent="0.25">
      <c r="A773" t="str">
        <f>"39203"</f>
        <v>39203</v>
      </c>
      <c r="B773" t="s">
        <v>1681</v>
      </c>
      <c r="C773" t="s">
        <v>1685</v>
      </c>
      <c r="D773" t="str">
        <f>"3073"</f>
        <v>3073</v>
      </c>
      <c r="E773" t="s">
        <v>818</v>
      </c>
    </row>
    <row r="774" spans="1:5" x14ac:dyDescent="0.25">
      <c r="A774" t="str">
        <f t="shared" ref="A774:A813" si="39">"17401"</f>
        <v>17401</v>
      </c>
      <c r="B774" t="s">
        <v>1686</v>
      </c>
      <c r="C774" t="s">
        <v>1687</v>
      </c>
      <c r="D774" t="str">
        <f>"2765"</f>
        <v>2765</v>
      </c>
      <c r="E774" t="s">
        <v>818</v>
      </c>
    </row>
    <row r="775" spans="1:5" x14ac:dyDescent="0.25">
      <c r="A775" t="str">
        <f t="shared" si="39"/>
        <v>17401</v>
      </c>
      <c r="B775" t="s">
        <v>1686</v>
      </c>
      <c r="C775" t="s">
        <v>1688</v>
      </c>
      <c r="D775" t="str">
        <f>"5028"</f>
        <v>5028</v>
      </c>
      <c r="E775" t="s">
        <v>824</v>
      </c>
    </row>
    <row r="776" spans="1:5" x14ac:dyDescent="0.25">
      <c r="A776" t="str">
        <f t="shared" si="39"/>
        <v>17401</v>
      </c>
      <c r="B776" t="s">
        <v>1686</v>
      </c>
      <c r="C776" t="s">
        <v>1689</v>
      </c>
      <c r="D776" t="str">
        <f>"2982"</f>
        <v>2982</v>
      </c>
      <c r="E776" t="s">
        <v>818</v>
      </c>
    </row>
    <row r="777" spans="1:5" x14ac:dyDescent="0.25">
      <c r="A777" t="str">
        <f t="shared" si="39"/>
        <v>17401</v>
      </c>
      <c r="B777" t="s">
        <v>1686</v>
      </c>
      <c r="C777" t="s">
        <v>1690</v>
      </c>
      <c r="D777" t="str">
        <f>"5116"</f>
        <v>5116</v>
      </c>
      <c r="E777" t="s">
        <v>824</v>
      </c>
    </row>
    <row r="778" spans="1:5" x14ac:dyDescent="0.25">
      <c r="A778" t="str">
        <f t="shared" si="39"/>
        <v>17401</v>
      </c>
      <c r="B778" t="s">
        <v>1686</v>
      </c>
      <c r="C778" t="s">
        <v>871</v>
      </c>
      <c r="D778" t="str">
        <f>"3163"</f>
        <v>3163</v>
      </c>
      <c r="E778" t="s">
        <v>830</v>
      </c>
    </row>
    <row r="779" spans="1:5" x14ac:dyDescent="0.25">
      <c r="A779" t="str">
        <f t="shared" si="39"/>
        <v>17401</v>
      </c>
      <c r="B779" t="s">
        <v>1686</v>
      </c>
      <c r="C779" t="s">
        <v>1691</v>
      </c>
      <c r="D779" t="str">
        <f>"2926"</f>
        <v>2926</v>
      </c>
      <c r="E779" t="s">
        <v>818</v>
      </c>
    </row>
    <row r="780" spans="1:5" x14ac:dyDescent="0.25">
      <c r="A780" t="str">
        <f t="shared" si="39"/>
        <v>17401</v>
      </c>
      <c r="B780" t="s">
        <v>1686</v>
      </c>
      <c r="C780" t="s">
        <v>932</v>
      </c>
      <c r="D780" t="str">
        <f>"3098"</f>
        <v>3098</v>
      </c>
      <c r="E780" t="s">
        <v>830</v>
      </c>
    </row>
    <row r="781" spans="1:5" x14ac:dyDescent="0.25">
      <c r="A781" t="str">
        <f t="shared" si="39"/>
        <v>17401</v>
      </c>
      <c r="B781" t="s">
        <v>1686</v>
      </c>
      <c r="C781" t="s">
        <v>1692</v>
      </c>
      <c r="D781" t="str">
        <f>"1539"</f>
        <v>1539</v>
      </c>
      <c r="E781" t="s">
        <v>821</v>
      </c>
    </row>
    <row r="782" spans="1:5" x14ac:dyDescent="0.25">
      <c r="A782" t="str">
        <f t="shared" si="39"/>
        <v>17401</v>
      </c>
      <c r="B782" t="s">
        <v>1686</v>
      </c>
      <c r="C782" t="s">
        <v>1693</v>
      </c>
      <c r="D782" t="str">
        <f>"2418"</f>
        <v>2418</v>
      </c>
      <c r="E782" t="s">
        <v>818</v>
      </c>
    </row>
    <row r="783" spans="1:5" x14ac:dyDescent="0.25">
      <c r="A783" t="str">
        <f t="shared" si="39"/>
        <v>17401</v>
      </c>
      <c r="B783" t="s">
        <v>1686</v>
      </c>
      <c r="C783" t="s">
        <v>1512</v>
      </c>
      <c r="D783" t="str">
        <f>"3099"</f>
        <v>3099</v>
      </c>
      <c r="E783" t="s">
        <v>824</v>
      </c>
    </row>
    <row r="784" spans="1:5" x14ac:dyDescent="0.25">
      <c r="A784" t="str">
        <f t="shared" si="39"/>
        <v>17401</v>
      </c>
      <c r="B784" t="s">
        <v>1686</v>
      </c>
      <c r="C784" t="s">
        <v>1554</v>
      </c>
      <c r="D784" t="str">
        <f>"5254"</f>
        <v>5254</v>
      </c>
      <c r="E784" t="s">
        <v>824</v>
      </c>
    </row>
    <row r="785" spans="1:5" x14ac:dyDescent="0.25">
      <c r="A785" t="str">
        <f t="shared" si="39"/>
        <v>17401</v>
      </c>
      <c r="B785" t="s">
        <v>1686</v>
      </c>
      <c r="C785" t="s">
        <v>1694</v>
      </c>
      <c r="D785" t="str">
        <f>"2844"</f>
        <v>2844</v>
      </c>
      <c r="E785" t="s">
        <v>818</v>
      </c>
    </row>
    <row r="786" spans="1:5" x14ac:dyDescent="0.25">
      <c r="A786" t="str">
        <f t="shared" si="39"/>
        <v>17401</v>
      </c>
      <c r="B786" t="s">
        <v>1686</v>
      </c>
      <c r="C786" t="s">
        <v>1695</v>
      </c>
      <c r="D786" t="str">
        <f>"2699"</f>
        <v>2699</v>
      </c>
      <c r="E786" t="s">
        <v>818</v>
      </c>
    </row>
    <row r="787" spans="1:5" x14ac:dyDescent="0.25">
      <c r="A787" t="str">
        <f t="shared" si="39"/>
        <v>17401</v>
      </c>
      <c r="B787" t="s">
        <v>1686</v>
      </c>
      <c r="C787" t="s">
        <v>1696</v>
      </c>
      <c r="D787" t="str">
        <f>"1998"</f>
        <v>1998</v>
      </c>
      <c r="E787" t="s">
        <v>826</v>
      </c>
    </row>
    <row r="788" spans="1:5" x14ac:dyDescent="0.25">
      <c r="A788" t="str">
        <f t="shared" si="39"/>
        <v>17401</v>
      </c>
      <c r="B788" t="s">
        <v>1686</v>
      </c>
      <c r="C788" t="s">
        <v>1697</v>
      </c>
      <c r="D788" t="str">
        <f>"2325"</f>
        <v>2325</v>
      </c>
      <c r="E788" t="s">
        <v>824</v>
      </c>
    </row>
    <row r="789" spans="1:5" x14ac:dyDescent="0.25">
      <c r="A789" t="str">
        <f t="shared" si="39"/>
        <v>17401</v>
      </c>
      <c r="B789" t="s">
        <v>1686</v>
      </c>
      <c r="C789" t="s">
        <v>1698</v>
      </c>
      <c r="D789" t="str">
        <f>"5371"</f>
        <v>5371</v>
      </c>
      <c r="E789" t="s">
        <v>859</v>
      </c>
    </row>
    <row r="790" spans="1:5" x14ac:dyDescent="0.25">
      <c r="A790" t="str">
        <f t="shared" si="39"/>
        <v>17401</v>
      </c>
      <c r="B790" t="s">
        <v>1686</v>
      </c>
      <c r="C790" t="s">
        <v>1699</v>
      </c>
      <c r="D790" t="str">
        <f>"5370"</f>
        <v>5370</v>
      </c>
      <c r="E790" t="s">
        <v>824</v>
      </c>
    </row>
    <row r="791" spans="1:5" x14ac:dyDescent="0.25">
      <c r="A791" t="str">
        <f t="shared" si="39"/>
        <v>17401</v>
      </c>
      <c r="B791" t="s">
        <v>1686</v>
      </c>
      <c r="C791" t="s">
        <v>1399</v>
      </c>
      <c r="D791" t="str">
        <f>"3165"</f>
        <v>3165</v>
      </c>
      <c r="E791" t="s">
        <v>818</v>
      </c>
    </row>
    <row r="792" spans="1:5" x14ac:dyDescent="0.25">
      <c r="A792" t="str">
        <f t="shared" si="39"/>
        <v>17401</v>
      </c>
      <c r="B792" t="s">
        <v>1686</v>
      </c>
      <c r="C792" t="s">
        <v>1700</v>
      </c>
      <c r="D792" t="str">
        <f>"3278"</f>
        <v>3278</v>
      </c>
      <c r="E792" t="s">
        <v>818</v>
      </c>
    </row>
    <row r="793" spans="1:5" x14ac:dyDescent="0.25">
      <c r="A793" t="str">
        <f t="shared" si="39"/>
        <v>17401</v>
      </c>
      <c r="B793" t="s">
        <v>1686</v>
      </c>
      <c r="C793" t="s">
        <v>1701</v>
      </c>
      <c r="D793" t="str">
        <f>"3097"</f>
        <v>3097</v>
      </c>
      <c r="E793" t="s">
        <v>818</v>
      </c>
    </row>
    <row r="794" spans="1:5" x14ac:dyDescent="0.25">
      <c r="A794" t="str">
        <f t="shared" si="39"/>
        <v>17401</v>
      </c>
      <c r="B794" t="s">
        <v>1686</v>
      </c>
      <c r="C794" t="s">
        <v>1702</v>
      </c>
      <c r="D794" t="str">
        <f>"2734"</f>
        <v>2734</v>
      </c>
      <c r="E794" t="s">
        <v>818</v>
      </c>
    </row>
    <row r="795" spans="1:5" x14ac:dyDescent="0.25">
      <c r="A795" t="str">
        <f t="shared" si="39"/>
        <v>17401</v>
      </c>
      <c r="B795" t="s">
        <v>1686</v>
      </c>
      <c r="C795" t="s">
        <v>1703</v>
      </c>
      <c r="D795" t="str">
        <f>"2984"</f>
        <v>2984</v>
      </c>
      <c r="E795" t="s">
        <v>818</v>
      </c>
    </row>
    <row r="796" spans="1:5" x14ac:dyDescent="0.25">
      <c r="A796" t="str">
        <f t="shared" si="39"/>
        <v>17401</v>
      </c>
      <c r="B796" t="s">
        <v>1686</v>
      </c>
      <c r="C796" t="s">
        <v>1704</v>
      </c>
      <c r="D796" t="str">
        <f>"3279"</f>
        <v>3279</v>
      </c>
      <c r="E796" t="s">
        <v>824</v>
      </c>
    </row>
    <row r="797" spans="1:5" x14ac:dyDescent="0.25">
      <c r="A797" t="str">
        <f t="shared" si="39"/>
        <v>17401</v>
      </c>
      <c r="B797" t="s">
        <v>1686</v>
      </c>
      <c r="C797" t="s">
        <v>1705</v>
      </c>
      <c r="D797" t="str">
        <f>"2144"</f>
        <v>2144</v>
      </c>
      <c r="E797" t="s">
        <v>818</v>
      </c>
    </row>
    <row r="798" spans="1:5" x14ac:dyDescent="0.25">
      <c r="A798" t="str">
        <f t="shared" si="39"/>
        <v>17401</v>
      </c>
      <c r="B798" t="s">
        <v>1686</v>
      </c>
      <c r="C798" t="s">
        <v>1706</v>
      </c>
      <c r="D798" t="str">
        <f>"1972"</f>
        <v>1972</v>
      </c>
      <c r="E798" t="s">
        <v>824</v>
      </c>
    </row>
    <row r="799" spans="1:5" x14ac:dyDescent="0.25">
      <c r="A799" t="str">
        <f t="shared" si="39"/>
        <v>17401</v>
      </c>
      <c r="B799" t="s">
        <v>1686</v>
      </c>
      <c r="C799" t="s">
        <v>1707</v>
      </c>
      <c r="D799" t="str">
        <f>"2983"</f>
        <v>2983</v>
      </c>
      <c r="E799" t="s">
        <v>818</v>
      </c>
    </row>
    <row r="800" spans="1:5" x14ac:dyDescent="0.25">
      <c r="A800" t="str">
        <f t="shared" si="39"/>
        <v>17401</v>
      </c>
      <c r="B800" t="s">
        <v>1686</v>
      </c>
      <c r="C800" t="s">
        <v>1528</v>
      </c>
      <c r="D800" t="str">
        <f>"3333"</f>
        <v>3333</v>
      </c>
      <c r="E800" t="s">
        <v>830</v>
      </c>
    </row>
    <row r="801" spans="1:5" x14ac:dyDescent="0.25">
      <c r="A801" t="str">
        <f t="shared" si="39"/>
        <v>17401</v>
      </c>
      <c r="B801" t="s">
        <v>1686</v>
      </c>
      <c r="C801" t="s">
        <v>1708</v>
      </c>
      <c r="D801" t="str">
        <f>"3335"</f>
        <v>3335</v>
      </c>
      <c r="E801" t="s">
        <v>818</v>
      </c>
    </row>
    <row r="802" spans="1:5" x14ac:dyDescent="0.25">
      <c r="A802" t="str">
        <f t="shared" si="39"/>
        <v>17401</v>
      </c>
      <c r="B802" t="s">
        <v>1686</v>
      </c>
      <c r="C802" t="s">
        <v>1709</v>
      </c>
      <c r="D802" t="str">
        <f>"5172"</f>
        <v>5172</v>
      </c>
      <c r="E802" t="s">
        <v>824</v>
      </c>
    </row>
    <row r="803" spans="1:5" x14ac:dyDescent="0.25">
      <c r="A803" t="str">
        <f t="shared" si="39"/>
        <v>17401</v>
      </c>
      <c r="B803" t="s">
        <v>1686</v>
      </c>
      <c r="C803" t="s">
        <v>1710</v>
      </c>
      <c r="D803" t="str">
        <f>"2270"</f>
        <v>2270</v>
      </c>
      <c r="E803" t="s">
        <v>824</v>
      </c>
    </row>
    <row r="804" spans="1:5" x14ac:dyDescent="0.25">
      <c r="A804" t="str">
        <f t="shared" si="39"/>
        <v>17401</v>
      </c>
      <c r="B804" t="s">
        <v>1686</v>
      </c>
      <c r="C804" t="s">
        <v>1711</v>
      </c>
      <c r="D804" t="str">
        <f>"3553"</f>
        <v>3553</v>
      </c>
      <c r="E804" t="s">
        <v>824</v>
      </c>
    </row>
    <row r="805" spans="1:5" x14ac:dyDescent="0.25">
      <c r="A805" t="str">
        <f t="shared" si="39"/>
        <v>17401</v>
      </c>
      <c r="B805" t="s">
        <v>1686</v>
      </c>
      <c r="C805" t="s">
        <v>1712</v>
      </c>
      <c r="D805" t="str">
        <f>"1973"</f>
        <v>1973</v>
      </c>
      <c r="E805" t="s">
        <v>851</v>
      </c>
    </row>
    <row r="806" spans="1:5" x14ac:dyDescent="0.25">
      <c r="A806" t="str">
        <f t="shared" si="39"/>
        <v>17401</v>
      </c>
      <c r="B806" t="s">
        <v>1686</v>
      </c>
      <c r="C806" t="s">
        <v>1713</v>
      </c>
      <c r="D806" t="str">
        <f>"3382"</f>
        <v>3382</v>
      </c>
      <c r="E806" t="s">
        <v>818</v>
      </c>
    </row>
    <row r="807" spans="1:5" x14ac:dyDescent="0.25">
      <c r="A807" t="str">
        <f t="shared" si="39"/>
        <v>17401</v>
      </c>
      <c r="B807" t="s">
        <v>1686</v>
      </c>
      <c r="C807" t="s">
        <v>1714</v>
      </c>
      <c r="D807" t="str">
        <f>"2842"</f>
        <v>2842</v>
      </c>
      <c r="E807" t="s">
        <v>818</v>
      </c>
    </row>
    <row r="808" spans="1:5" x14ac:dyDescent="0.25">
      <c r="A808" t="str">
        <f t="shared" si="39"/>
        <v>17401</v>
      </c>
      <c r="B808" t="s">
        <v>1686</v>
      </c>
      <c r="C808" t="s">
        <v>1715</v>
      </c>
      <c r="D808" t="str">
        <f>"3032"</f>
        <v>3032</v>
      </c>
      <c r="E808" t="s">
        <v>818</v>
      </c>
    </row>
    <row r="809" spans="1:5" x14ac:dyDescent="0.25">
      <c r="A809" t="str">
        <f t="shared" si="39"/>
        <v>17401</v>
      </c>
      <c r="B809" t="s">
        <v>1686</v>
      </c>
      <c r="C809" t="s">
        <v>1716</v>
      </c>
      <c r="D809" t="str">
        <f>"5277"</f>
        <v>5277</v>
      </c>
      <c r="E809" t="s">
        <v>824</v>
      </c>
    </row>
    <row r="810" spans="1:5" x14ac:dyDescent="0.25">
      <c r="A810" t="str">
        <f t="shared" si="39"/>
        <v>17401</v>
      </c>
      <c r="B810" t="s">
        <v>1686</v>
      </c>
      <c r="C810" t="s">
        <v>1717</v>
      </c>
      <c r="D810" t="str">
        <f>"2927"</f>
        <v>2927</v>
      </c>
      <c r="E810" t="s">
        <v>830</v>
      </c>
    </row>
    <row r="811" spans="1:5" x14ac:dyDescent="0.25">
      <c r="A811" t="str">
        <f t="shared" si="39"/>
        <v>17401</v>
      </c>
      <c r="B811" t="s">
        <v>1686</v>
      </c>
      <c r="C811" t="s">
        <v>1718</v>
      </c>
      <c r="D811" t="str">
        <f>"3483"</f>
        <v>3483</v>
      </c>
      <c r="E811" t="s">
        <v>824</v>
      </c>
    </row>
    <row r="812" spans="1:5" x14ac:dyDescent="0.25">
      <c r="A812" t="str">
        <f t="shared" si="39"/>
        <v>17401</v>
      </c>
      <c r="B812" t="s">
        <v>1686</v>
      </c>
      <c r="C812" t="s">
        <v>1719</v>
      </c>
      <c r="D812" t="str">
        <f>"5119"</f>
        <v>5119</v>
      </c>
      <c r="E812" t="s">
        <v>826</v>
      </c>
    </row>
    <row r="813" spans="1:5" x14ac:dyDescent="0.25">
      <c r="A813" t="str">
        <f t="shared" si="39"/>
        <v>17401</v>
      </c>
      <c r="B813" t="s">
        <v>1686</v>
      </c>
      <c r="C813" t="s">
        <v>1720</v>
      </c>
      <c r="D813" t="str">
        <f>"2639"</f>
        <v>2639</v>
      </c>
      <c r="E813" t="s">
        <v>818</v>
      </c>
    </row>
    <row r="814" spans="1:5" x14ac:dyDescent="0.25">
      <c r="A814" t="str">
        <f>"06098"</f>
        <v>06098</v>
      </c>
      <c r="B814" t="s">
        <v>1721</v>
      </c>
      <c r="C814" t="s">
        <v>1722</v>
      </c>
      <c r="D814" t="str">
        <f>"5311"</f>
        <v>5311</v>
      </c>
      <c r="E814" t="s">
        <v>818</v>
      </c>
    </row>
    <row r="815" spans="1:5" x14ac:dyDescent="0.25">
      <c r="A815" t="str">
        <f>"06098"</f>
        <v>06098</v>
      </c>
      <c r="B815" t="s">
        <v>1721</v>
      </c>
      <c r="C815" t="s">
        <v>1723</v>
      </c>
      <c r="D815" t="str">
        <f>"4568"</f>
        <v>4568</v>
      </c>
      <c r="E815" t="s">
        <v>824</v>
      </c>
    </row>
    <row r="816" spans="1:5" x14ac:dyDescent="0.25">
      <c r="A816" t="str">
        <f>"06098"</f>
        <v>06098</v>
      </c>
      <c r="B816" t="s">
        <v>1721</v>
      </c>
      <c r="C816" t="s">
        <v>1724</v>
      </c>
      <c r="D816" t="str">
        <f>"3319"</f>
        <v>3319</v>
      </c>
      <c r="E816" t="s">
        <v>830</v>
      </c>
    </row>
    <row r="817" spans="1:5" x14ac:dyDescent="0.25">
      <c r="A817" t="str">
        <f>"23404"</f>
        <v>23404</v>
      </c>
      <c r="B817" t="s">
        <v>1725</v>
      </c>
      <c r="C817" t="s">
        <v>1726</v>
      </c>
      <c r="D817" t="str">
        <f>"2310"</f>
        <v>2310</v>
      </c>
      <c r="E817" t="s">
        <v>821</v>
      </c>
    </row>
    <row r="818" spans="1:5" x14ac:dyDescent="0.25">
      <c r="A818" t="str">
        <f>"23404"</f>
        <v>23404</v>
      </c>
      <c r="B818" t="s">
        <v>1725</v>
      </c>
      <c r="C818" t="s">
        <v>1727</v>
      </c>
      <c r="D818" t="str">
        <f>"5515"</f>
        <v>5515</v>
      </c>
      <c r="E818" t="s">
        <v>830</v>
      </c>
    </row>
    <row r="819" spans="1:5" x14ac:dyDescent="0.25">
      <c r="A819" t="str">
        <f t="shared" ref="A819:A824" si="40">"14028"</f>
        <v>14028</v>
      </c>
      <c r="B819" t="s">
        <v>1728</v>
      </c>
      <c r="C819" t="s">
        <v>1729</v>
      </c>
      <c r="D819" t="str">
        <f>"2972"</f>
        <v>2972</v>
      </c>
      <c r="E819" t="s">
        <v>818</v>
      </c>
    </row>
    <row r="820" spans="1:5" x14ac:dyDescent="0.25">
      <c r="A820" t="str">
        <f t="shared" si="40"/>
        <v>14028</v>
      </c>
      <c r="B820" t="s">
        <v>1728</v>
      </c>
      <c r="C820" t="s">
        <v>1730</v>
      </c>
      <c r="D820" t="str">
        <f>"2268"</f>
        <v>2268</v>
      </c>
      <c r="E820" t="s">
        <v>818</v>
      </c>
    </row>
    <row r="821" spans="1:5" x14ac:dyDescent="0.25">
      <c r="A821" t="str">
        <f t="shared" si="40"/>
        <v>14028</v>
      </c>
      <c r="B821" t="s">
        <v>1728</v>
      </c>
      <c r="C821" t="s">
        <v>1731</v>
      </c>
      <c r="D821" t="str">
        <f>"3622"</f>
        <v>3622</v>
      </c>
      <c r="E821" t="s">
        <v>824</v>
      </c>
    </row>
    <row r="822" spans="1:5" x14ac:dyDescent="0.25">
      <c r="A822" t="str">
        <f t="shared" si="40"/>
        <v>14028</v>
      </c>
      <c r="B822" t="s">
        <v>1728</v>
      </c>
      <c r="C822" t="s">
        <v>1732</v>
      </c>
      <c r="D822" t="str">
        <f>"5191"</f>
        <v>5191</v>
      </c>
      <c r="E822" t="s">
        <v>859</v>
      </c>
    </row>
    <row r="823" spans="1:5" x14ac:dyDescent="0.25">
      <c r="A823" t="str">
        <f t="shared" si="40"/>
        <v>14028</v>
      </c>
      <c r="B823" t="s">
        <v>1728</v>
      </c>
      <c r="C823" t="s">
        <v>1733</v>
      </c>
      <c r="D823" t="str">
        <f>"2391"</f>
        <v>2391</v>
      </c>
      <c r="E823" t="s">
        <v>830</v>
      </c>
    </row>
    <row r="824" spans="1:5" x14ac:dyDescent="0.25">
      <c r="A824" t="str">
        <f t="shared" si="40"/>
        <v>14028</v>
      </c>
      <c r="B824" t="s">
        <v>1728</v>
      </c>
      <c r="C824" t="s">
        <v>1435</v>
      </c>
      <c r="D824" t="str">
        <f>"3621"</f>
        <v>3621</v>
      </c>
      <c r="E824" t="s">
        <v>818</v>
      </c>
    </row>
    <row r="825" spans="1:5" x14ac:dyDescent="0.25">
      <c r="A825" t="str">
        <f>"17911"</f>
        <v>17911</v>
      </c>
      <c r="B825" t="s">
        <v>1734</v>
      </c>
      <c r="C825" t="s">
        <v>1735</v>
      </c>
      <c r="D825" t="str">
        <f>"5517"</f>
        <v>5517</v>
      </c>
      <c r="E825" t="s">
        <v>818</v>
      </c>
    </row>
    <row r="826" spans="1:5" x14ac:dyDescent="0.25">
      <c r="A826" t="str">
        <f>"10070"</f>
        <v>10070</v>
      </c>
      <c r="B826" t="s">
        <v>1736</v>
      </c>
      <c r="C826" t="s">
        <v>1737</v>
      </c>
      <c r="D826" t="str">
        <f>"4215"</f>
        <v>4215</v>
      </c>
      <c r="E826" t="s">
        <v>818</v>
      </c>
    </row>
    <row r="827" spans="1:5" x14ac:dyDescent="0.25">
      <c r="A827" t="str">
        <f>"10070"</f>
        <v>10070</v>
      </c>
      <c r="B827" t="s">
        <v>1736</v>
      </c>
      <c r="C827" t="s">
        <v>1738</v>
      </c>
      <c r="D827" t="str">
        <f>"2603"</f>
        <v>2603</v>
      </c>
      <c r="E827" t="s">
        <v>824</v>
      </c>
    </row>
    <row r="828" spans="1:5" x14ac:dyDescent="0.25">
      <c r="A828" t="str">
        <f>"10070"</f>
        <v>10070</v>
      </c>
      <c r="B828" t="s">
        <v>1736</v>
      </c>
      <c r="C828" t="s">
        <v>1739</v>
      </c>
      <c r="D828" t="str">
        <f>"4214"</f>
        <v>4214</v>
      </c>
      <c r="E828" t="s">
        <v>830</v>
      </c>
    </row>
    <row r="829" spans="1:5" x14ac:dyDescent="0.25">
      <c r="A829" t="str">
        <f>"31063"</f>
        <v>31063</v>
      </c>
      <c r="B829" t="s">
        <v>1740</v>
      </c>
      <c r="C829" t="s">
        <v>1741</v>
      </c>
      <c r="D829" t="str">
        <f>"2948"</f>
        <v>2948</v>
      </c>
      <c r="E829" t="s">
        <v>821</v>
      </c>
    </row>
    <row r="830" spans="1:5" x14ac:dyDescent="0.25">
      <c r="A830" t="str">
        <f t="shared" ref="A830:A856" si="41">"17411"</f>
        <v>17411</v>
      </c>
      <c r="B830" t="s">
        <v>1742</v>
      </c>
      <c r="C830" t="s">
        <v>1743</v>
      </c>
      <c r="D830" t="str">
        <f>"3746"</f>
        <v>3746</v>
      </c>
      <c r="E830" t="s">
        <v>818</v>
      </c>
    </row>
    <row r="831" spans="1:5" x14ac:dyDescent="0.25">
      <c r="A831" t="str">
        <f t="shared" si="41"/>
        <v>17411</v>
      </c>
      <c r="B831" t="s">
        <v>1742</v>
      </c>
      <c r="C831" t="s">
        <v>1744</v>
      </c>
      <c r="D831" t="str">
        <f>"4460"</f>
        <v>4460</v>
      </c>
      <c r="E831" t="s">
        <v>830</v>
      </c>
    </row>
    <row r="832" spans="1:5" x14ac:dyDescent="0.25">
      <c r="A832" t="str">
        <f t="shared" si="41"/>
        <v>17411</v>
      </c>
      <c r="B832" t="s">
        <v>1742</v>
      </c>
      <c r="C832" t="s">
        <v>1745</v>
      </c>
      <c r="D832" t="str">
        <f>"3440"</f>
        <v>3440</v>
      </c>
      <c r="E832" t="s">
        <v>818</v>
      </c>
    </row>
    <row r="833" spans="1:5" x14ac:dyDescent="0.25">
      <c r="A833" t="str">
        <f t="shared" si="41"/>
        <v>17411</v>
      </c>
      <c r="B833" t="s">
        <v>1742</v>
      </c>
      <c r="C833" t="s">
        <v>1746</v>
      </c>
      <c r="D833" t="str">
        <f>"4565"</f>
        <v>4565</v>
      </c>
      <c r="E833" t="s">
        <v>818</v>
      </c>
    </row>
    <row r="834" spans="1:5" x14ac:dyDescent="0.25">
      <c r="A834" t="str">
        <f t="shared" si="41"/>
        <v>17411</v>
      </c>
      <c r="B834" t="s">
        <v>1742</v>
      </c>
      <c r="C834" t="s">
        <v>1747</v>
      </c>
      <c r="D834" t="str">
        <f>"4300"</f>
        <v>4300</v>
      </c>
      <c r="E834" t="s">
        <v>818</v>
      </c>
    </row>
    <row r="835" spans="1:5" x14ac:dyDescent="0.25">
      <c r="A835" t="str">
        <f t="shared" si="41"/>
        <v>17411</v>
      </c>
      <c r="B835" t="s">
        <v>1742</v>
      </c>
      <c r="C835" t="s">
        <v>1748</v>
      </c>
      <c r="D835" t="str">
        <f>"2738"</f>
        <v>2738</v>
      </c>
      <c r="E835" t="s">
        <v>818</v>
      </c>
    </row>
    <row r="836" spans="1:5" x14ac:dyDescent="0.25">
      <c r="A836" t="str">
        <f t="shared" si="41"/>
        <v>17411</v>
      </c>
      <c r="B836" t="s">
        <v>1742</v>
      </c>
      <c r="C836" t="s">
        <v>1749</v>
      </c>
      <c r="D836" t="str">
        <f>"4375"</f>
        <v>4375</v>
      </c>
      <c r="E836" t="s">
        <v>818</v>
      </c>
    </row>
    <row r="837" spans="1:5" x14ac:dyDescent="0.25">
      <c r="A837" t="str">
        <f t="shared" si="41"/>
        <v>17411</v>
      </c>
      <c r="B837" t="s">
        <v>1742</v>
      </c>
      <c r="C837" t="s">
        <v>1750</v>
      </c>
      <c r="D837" t="str">
        <f>"5201"</f>
        <v>5201</v>
      </c>
      <c r="E837" t="s">
        <v>818</v>
      </c>
    </row>
    <row r="838" spans="1:5" x14ac:dyDescent="0.25">
      <c r="A838" t="str">
        <f t="shared" si="41"/>
        <v>17411</v>
      </c>
      <c r="B838" t="s">
        <v>1742</v>
      </c>
      <c r="C838" t="s">
        <v>1751</v>
      </c>
      <c r="D838" t="str">
        <f>"4376"</f>
        <v>4376</v>
      </c>
      <c r="E838" t="s">
        <v>818</v>
      </c>
    </row>
    <row r="839" spans="1:5" x14ac:dyDescent="0.25">
      <c r="A839" t="str">
        <f t="shared" si="41"/>
        <v>17411</v>
      </c>
      <c r="B839" t="s">
        <v>1742</v>
      </c>
      <c r="C839" t="s">
        <v>1752</v>
      </c>
      <c r="D839" t="str">
        <f>"3569"</f>
        <v>3569</v>
      </c>
      <c r="E839" t="s">
        <v>821</v>
      </c>
    </row>
    <row r="840" spans="1:5" x14ac:dyDescent="0.25">
      <c r="A840" t="str">
        <f t="shared" si="41"/>
        <v>17411</v>
      </c>
      <c r="B840" t="s">
        <v>1742</v>
      </c>
      <c r="C840" t="s">
        <v>1511</v>
      </c>
      <c r="D840" t="str">
        <f>"4493"</f>
        <v>4493</v>
      </c>
      <c r="E840" t="s">
        <v>818</v>
      </c>
    </row>
    <row r="841" spans="1:5" x14ac:dyDescent="0.25">
      <c r="A841" t="str">
        <f t="shared" si="41"/>
        <v>17411</v>
      </c>
      <c r="B841" t="s">
        <v>1742</v>
      </c>
      <c r="C841" t="s">
        <v>1753</v>
      </c>
      <c r="D841" t="str">
        <f>"5437"</f>
        <v>5437</v>
      </c>
      <c r="E841" t="s">
        <v>824</v>
      </c>
    </row>
    <row r="842" spans="1:5" x14ac:dyDescent="0.25">
      <c r="A842" t="str">
        <f t="shared" si="41"/>
        <v>17411</v>
      </c>
      <c r="B842" t="s">
        <v>1742</v>
      </c>
      <c r="C842" t="s">
        <v>1754</v>
      </c>
      <c r="D842" t="str">
        <f>"5056"</f>
        <v>5056</v>
      </c>
      <c r="E842" t="s">
        <v>818</v>
      </c>
    </row>
    <row r="843" spans="1:5" x14ac:dyDescent="0.25">
      <c r="A843" t="str">
        <f t="shared" si="41"/>
        <v>17411</v>
      </c>
      <c r="B843" t="s">
        <v>1742</v>
      </c>
      <c r="C843" t="s">
        <v>1755</v>
      </c>
      <c r="D843" t="str">
        <f>"5062"</f>
        <v>5062</v>
      </c>
      <c r="E843" t="s">
        <v>826</v>
      </c>
    </row>
    <row r="844" spans="1:5" x14ac:dyDescent="0.25">
      <c r="A844" t="str">
        <f t="shared" si="41"/>
        <v>17411</v>
      </c>
      <c r="B844" t="s">
        <v>1742</v>
      </c>
      <c r="C844" t="s">
        <v>1756</v>
      </c>
      <c r="D844" t="str">
        <f>"3385"</f>
        <v>3385</v>
      </c>
      <c r="E844" t="s">
        <v>824</v>
      </c>
    </row>
    <row r="845" spans="1:5" x14ac:dyDescent="0.25">
      <c r="A845" t="str">
        <f t="shared" si="41"/>
        <v>17411</v>
      </c>
      <c r="B845" t="s">
        <v>1742</v>
      </c>
      <c r="C845" t="s">
        <v>1757</v>
      </c>
      <c r="D845" t="str">
        <f>"3038"</f>
        <v>3038</v>
      </c>
      <c r="E845" t="s">
        <v>830</v>
      </c>
    </row>
    <row r="846" spans="1:5" x14ac:dyDescent="0.25">
      <c r="A846" t="str">
        <f t="shared" si="41"/>
        <v>17411</v>
      </c>
      <c r="B846" t="s">
        <v>1742</v>
      </c>
      <c r="C846" t="s">
        <v>1758</v>
      </c>
      <c r="D846" t="str">
        <f>"1624"</f>
        <v>1624</v>
      </c>
      <c r="E846" t="s">
        <v>851</v>
      </c>
    </row>
    <row r="847" spans="1:5" x14ac:dyDescent="0.25">
      <c r="A847" t="str">
        <f t="shared" si="41"/>
        <v>17411</v>
      </c>
      <c r="B847" t="s">
        <v>1742</v>
      </c>
      <c r="C847" t="s">
        <v>1759</v>
      </c>
      <c r="D847" t="str">
        <f>"3673"</f>
        <v>3673</v>
      </c>
      <c r="E847" t="s">
        <v>818</v>
      </c>
    </row>
    <row r="848" spans="1:5" x14ac:dyDescent="0.25">
      <c r="A848" t="str">
        <f t="shared" si="41"/>
        <v>17411</v>
      </c>
      <c r="B848" t="s">
        <v>1742</v>
      </c>
      <c r="C848" t="s">
        <v>1760</v>
      </c>
      <c r="D848" t="str">
        <f>"3962"</f>
        <v>3962</v>
      </c>
      <c r="E848" t="s">
        <v>824</v>
      </c>
    </row>
    <row r="849" spans="1:5" x14ac:dyDescent="0.25">
      <c r="A849" t="str">
        <f t="shared" si="41"/>
        <v>17411</v>
      </c>
      <c r="B849" t="s">
        <v>1742</v>
      </c>
      <c r="C849" t="s">
        <v>1761</v>
      </c>
      <c r="D849" t="str">
        <f>"3637"</f>
        <v>3637</v>
      </c>
      <c r="E849" t="s">
        <v>818</v>
      </c>
    </row>
    <row r="850" spans="1:5" x14ac:dyDescent="0.25">
      <c r="A850" t="str">
        <f t="shared" si="41"/>
        <v>17411</v>
      </c>
      <c r="B850" t="s">
        <v>1742</v>
      </c>
      <c r="C850" t="s">
        <v>1762</v>
      </c>
      <c r="D850" t="str">
        <f>"3636"</f>
        <v>3636</v>
      </c>
      <c r="E850" t="s">
        <v>830</v>
      </c>
    </row>
    <row r="851" spans="1:5" x14ac:dyDescent="0.25">
      <c r="A851" t="str">
        <f t="shared" si="41"/>
        <v>17411</v>
      </c>
      <c r="B851" t="s">
        <v>1742</v>
      </c>
      <c r="C851" t="s">
        <v>1763</v>
      </c>
      <c r="D851" t="str">
        <f>"4592"</f>
        <v>4592</v>
      </c>
      <c r="E851" t="s">
        <v>818</v>
      </c>
    </row>
    <row r="852" spans="1:5" x14ac:dyDescent="0.25">
      <c r="A852" t="str">
        <f t="shared" si="41"/>
        <v>17411</v>
      </c>
      <c r="B852" t="s">
        <v>1742</v>
      </c>
      <c r="C852" t="s">
        <v>1764</v>
      </c>
      <c r="D852" t="str">
        <f>"5200"</f>
        <v>5200</v>
      </c>
      <c r="E852" t="s">
        <v>830</v>
      </c>
    </row>
    <row r="853" spans="1:5" x14ac:dyDescent="0.25">
      <c r="A853" t="str">
        <f t="shared" si="41"/>
        <v>17411</v>
      </c>
      <c r="B853" t="s">
        <v>1742</v>
      </c>
      <c r="C853" t="s">
        <v>1765</v>
      </c>
      <c r="D853" t="str">
        <f>"3879"</f>
        <v>3879</v>
      </c>
      <c r="E853" t="s">
        <v>830</v>
      </c>
    </row>
    <row r="854" spans="1:5" x14ac:dyDescent="0.25">
      <c r="A854" t="str">
        <f t="shared" si="41"/>
        <v>17411</v>
      </c>
      <c r="B854" t="s">
        <v>1742</v>
      </c>
      <c r="C854" t="s">
        <v>1766</v>
      </c>
      <c r="D854" t="str">
        <f>"4495"</f>
        <v>4495</v>
      </c>
      <c r="E854" t="s">
        <v>824</v>
      </c>
    </row>
    <row r="855" spans="1:5" x14ac:dyDescent="0.25">
      <c r="A855" t="str">
        <f t="shared" si="41"/>
        <v>17411</v>
      </c>
      <c r="B855" t="s">
        <v>1742</v>
      </c>
      <c r="C855" t="s">
        <v>1767</v>
      </c>
      <c r="D855" t="str">
        <f>"3386"</f>
        <v>3386</v>
      </c>
      <c r="E855" t="s">
        <v>818</v>
      </c>
    </row>
    <row r="856" spans="1:5" x14ac:dyDescent="0.25">
      <c r="A856" t="str">
        <f t="shared" si="41"/>
        <v>17411</v>
      </c>
      <c r="B856" t="s">
        <v>1742</v>
      </c>
      <c r="C856" t="s">
        <v>1188</v>
      </c>
      <c r="D856" t="str">
        <f>"3228"</f>
        <v>3228</v>
      </c>
      <c r="E856" t="s">
        <v>818</v>
      </c>
    </row>
    <row r="857" spans="1:5" x14ac:dyDescent="0.25">
      <c r="A857" t="str">
        <f>"11056"</f>
        <v>11056</v>
      </c>
      <c r="B857" t="s">
        <v>1768</v>
      </c>
      <c r="C857" t="s">
        <v>1769</v>
      </c>
      <c r="D857" t="str">
        <f>"3214"</f>
        <v>3214</v>
      </c>
      <c r="E857" t="s">
        <v>851</v>
      </c>
    </row>
    <row r="858" spans="1:5" x14ac:dyDescent="0.25">
      <c r="A858" t="str">
        <f>"08402"</f>
        <v>08402</v>
      </c>
      <c r="B858" t="s">
        <v>1770</v>
      </c>
      <c r="C858" t="s">
        <v>1771</v>
      </c>
      <c r="D858" t="str">
        <f>"2915"</f>
        <v>2915</v>
      </c>
      <c r="E858" t="s">
        <v>818</v>
      </c>
    </row>
    <row r="859" spans="1:5" x14ac:dyDescent="0.25">
      <c r="A859" t="str">
        <f>"08402"</f>
        <v>08402</v>
      </c>
      <c r="B859" t="s">
        <v>1770</v>
      </c>
      <c r="C859" t="s">
        <v>1772</v>
      </c>
      <c r="D859" t="str">
        <f>"5545"</f>
        <v>5545</v>
      </c>
      <c r="E859" t="s">
        <v>824</v>
      </c>
    </row>
    <row r="860" spans="1:5" x14ac:dyDescent="0.25">
      <c r="A860" t="str">
        <f>"08402"</f>
        <v>08402</v>
      </c>
      <c r="B860" t="s">
        <v>1770</v>
      </c>
      <c r="C860" t="s">
        <v>1773</v>
      </c>
      <c r="D860" t="str">
        <f>"2561"</f>
        <v>2561</v>
      </c>
      <c r="E860" t="s">
        <v>830</v>
      </c>
    </row>
    <row r="861" spans="1:5" x14ac:dyDescent="0.25">
      <c r="A861" t="str">
        <f>"10003"</f>
        <v>10003</v>
      </c>
      <c r="B861" t="s">
        <v>1774</v>
      </c>
      <c r="C861" t="s">
        <v>1775</v>
      </c>
      <c r="D861" t="str">
        <f>"2602"</f>
        <v>2602</v>
      </c>
      <c r="E861" t="s">
        <v>818</v>
      </c>
    </row>
    <row r="862" spans="1:5" x14ac:dyDescent="0.25">
      <c r="A862" t="str">
        <f t="shared" ref="A862:A875" si="42">"08458"</f>
        <v>08458</v>
      </c>
      <c r="B862" t="s">
        <v>1776</v>
      </c>
      <c r="C862" t="s">
        <v>1777</v>
      </c>
      <c r="D862" t="str">
        <f>"3323"</f>
        <v>3323</v>
      </c>
      <c r="E862" t="s">
        <v>818</v>
      </c>
    </row>
    <row r="863" spans="1:5" x14ac:dyDescent="0.25">
      <c r="A863" t="str">
        <f t="shared" si="42"/>
        <v>08458</v>
      </c>
      <c r="B863" t="s">
        <v>1776</v>
      </c>
      <c r="C863" t="s">
        <v>1778</v>
      </c>
      <c r="D863" t="str">
        <f>"3578"</f>
        <v>3578</v>
      </c>
      <c r="E863" t="s">
        <v>818</v>
      </c>
    </row>
    <row r="864" spans="1:5" x14ac:dyDescent="0.25">
      <c r="A864" t="str">
        <f t="shared" si="42"/>
        <v>08458</v>
      </c>
      <c r="B864" t="s">
        <v>1776</v>
      </c>
      <c r="C864" t="s">
        <v>1779</v>
      </c>
      <c r="D864" t="str">
        <f>"3082"</f>
        <v>3082</v>
      </c>
      <c r="E864" t="s">
        <v>818</v>
      </c>
    </row>
    <row r="865" spans="1:5" x14ac:dyDescent="0.25">
      <c r="A865" t="str">
        <f t="shared" si="42"/>
        <v>08458</v>
      </c>
      <c r="B865" t="s">
        <v>1776</v>
      </c>
      <c r="C865" t="s">
        <v>1780</v>
      </c>
      <c r="D865" t="str">
        <f>"2913"</f>
        <v>2913</v>
      </c>
      <c r="E865" t="s">
        <v>818</v>
      </c>
    </row>
    <row r="866" spans="1:5" x14ac:dyDescent="0.25">
      <c r="A866" t="str">
        <f t="shared" si="42"/>
        <v>08458</v>
      </c>
      <c r="B866" t="s">
        <v>1776</v>
      </c>
      <c r="C866" t="s">
        <v>1781</v>
      </c>
      <c r="D866" t="str">
        <f>"2691"</f>
        <v>2691</v>
      </c>
      <c r="E866" t="s">
        <v>818</v>
      </c>
    </row>
    <row r="867" spans="1:5" x14ac:dyDescent="0.25">
      <c r="A867" t="str">
        <f t="shared" si="42"/>
        <v>08458</v>
      </c>
      <c r="B867" t="s">
        <v>1776</v>
      </c>
      <c r="C867" t="s">
        <v>1782</v>
      </c>
      <c r="D867" t="str">
        <f>"3322"</f>
        <v>3322</v>
      </c>
      <c r="E867" t="s">
        <v>830</v>
      </c>
    </row>
    <row r="868" spans="1:5" x14ac:dyDescent="0.25">
      <c r="A868" t="str">
        <f t="shared" si="42"/>
        <v>08458</v>
      </c>
      <c r="B868" t="s">
        <v>1776</v>
      </c>
      <c r="C868" t="s">
        <v>1783</v>
      </c>
      <c r="D868" t="str">
        <f>"2916"</f>
        <v>2916</v>
      </c>
      <c r="E868" t="s">
        <v>830</v>
      </c>
    </row>
    <row r="869" spans="1:5" x14ac:dyDescent="0.25">
      <c r="A869" t="str">
        <f t="shared" si="42"/>
        <v>08458</v>
      </c>
      <c r="B869" t="s">
        <v>1776</v>
      </c>
      <c r="C869" t="s">
        <v>1784</v>
      </c>
      <c r="D869" t="str">
        <f>"5547"</f>
        <v>5547</v>
      </c>
      <c r="E869" t="s">
        <v>824</v>
      </c>
    </row>
    <row r="870" spans="1:5" x14ac:dyDescent="0.25">
      <c r="A870" t="str">
        <f t="shared" si="42"/>
        <v>08458</v>
      </c>
      <c r="B870" t="s">
        <v>1776</v>
      </c>
      <c r="C870" t="s">
        <v>1785</v>
      </c>
      <c r="D870" t="str">
        <f>"2266"</f>
        <v>2266</v>
      </c>
      <c r="E870" t="s">
        <v>824</v>
      </c>
    </row>
    <row r="871" spans="1:5" x14ac:dyDescent="0.25">
      <c r="A871" t="str">
        <f t="shared" si="42"/>
        <v>08458</v>
      </c>
      <c r="B871" t="s">
        <v>1776</v>
      </c>
      <c r="C871" t="s">
        <v>1786</v>
      </c>
      <c r="D871" t="str">
        <f>"5194"</f>
        <v>5194</v>
      </c>
      <c r="E871" t="s">
        <v>824</v>
      </c>
    </row>
    <row r="872" spans="1:5" x14ac:dyDescent="0.25">
      <c r="A872" t="str">
        <f t="shared" si="42"/>
        <v>08458</v>
      </c>
      <c r="B872" t="s">
        <v>1776</v>
      </c>
      <c r="C872" t="s">
        <v>1787</v>
      </c>
      <c r="D872" t="str">
        <f>"1934"</f>
        <v>1934</v>
      </c>
      <c r="E872" t="s">
        <v>824</v>
      </c>
    </row>
    <row r="873" spans="1:5" x14ac:dyDescent="0.25">
      <c r="A873" t="str">
        <f t="shared" si="42"/>
        <v>08458</v>
      </c>
      <c r="B873" t="s">
        <v>1776</v>
      </c>
      <c r="C873" t="s">
        <v>1788</v>
      </c>
      <c r="D873" t="str">
        <f>"2596"</f>
        <v>2596</v>
      </c>
      <c r="E873" t="s">
        <v>818</v>
      </c>
    </row>
    <row r="874" spans="1:5" x14ac:dyDescent="0.25">
      <c r="A874" t="str">
        <f t="shared" si="42"/>
        <v>08458</v>
      </c>
      <c r="B874" t="s">
        <v>1776</v>
      </c>
      <c r="C874" t="s">
        <v>1789</v>
      </c>
      <c r="D874" t="str">
        <f>"5076"</f>
        <v>5076</v>
      </c>
      <c r="E874" t="s">
        <v>851</v>
      </c>
    </row>
    <row r="875" spans="1:5" x14ac:dyDescent="0.25">
      <c r="A875" t="str">
        <f t="shared" si="42"/>
        <v>08458</v>
      </c>
      <c r="B875" t="s">
        <v>1776</v>
      </c>
      <c r="C875" t="s">
        <v>1790</v>
      </c>
      <c r="D875" t="str">
        <f>"2624"</f>
        <v>2624</v>
      </c>
      <c r="E875" t="s">
        <v>818</v>
      </c>
    </row>
    <row r="876" spans="1:5" x14ac:dyDescent="0.25">
      <c r="A876" t="str">
        <f t="shared" ref="A876:A907" si="43">"03017"</f>
        <v>03017</v>
      </c>
      <c r="B876" t="s">
        <v>1791</v>
      </c>
      <c r="C876" t="s">
        <v>1792</v>
      </c>
      <c r="D876" t="str">
        <f>"4418"</f>
        <v>4418</v>
      </c>
      <c r="E876" t="s">
        <v>818</v>
      </c>
    </row>
    <row r="877" spans="1:5" x14ac:dyDescent="0.25">
      <c r="A877" t="str">
        <f t="shared" si="43"/>
        <v>03017</v>
      </c>
      <c r="B877" t="s">
        <v>1791</v>
      </c>
      <c r="C877" t="s">
        <v>1793</v>
      </c>
      <c r="D877" t="str">
        <f>"5520"</f>
        <v>5520</v>
      </c>
      <c r="E877" t="s">
        <v>818</v>
      </c>
    </row>
    <row r="878" spans="1:5" x14ac:dyDescent="0.25">
      <c r="A878" t="str">
        <f t="shared" si="43"/>
        <v>03017</v>
      </c>
      <c r="B878" t="s">
        <v>1791</v>
      </c>
      <c r="C878" t="s">
        <v>1794</v>
      </c>
      <c r="D878" t="str">
        <f>"5235"</f>
        <v>5235</v>
      </c>
      <c r="E878" t="s">
        <v>824</v>
      </c>
    </row>
    <row r="879" spans="1:5" x14ac:dyDescent="0.25">
      <c r="A879" t="str">
        <f t="shared" si="43"/>
        <v>03017</v>
      </c>
      <c r="B879" t="s">
        <v>1791</v>
      </c>
      <c r="C879" t="s">
        <v>1795</v>
      </c>
      <c r="D879" t="str">
        <f>"4007"</f>
        <v>4007</v>
      </c>
      <c r="E879" t="s">
        <v>821</v>
      </c>
    </row>
    <row r="880" spans="1:5" x14ac:dyDescent="0.25">
      <c r="A880" t="str">
        <f t="shared" si="43"/>
        <v>03017</v>
      </c>
      <c r="B880" t="s">
        <v>1791</v>
      </c>
      <c r="C880" t="s">
        <v>1796</v>
      </c>
      <c r="D880" t="str">
        <f>"4072"</f>
        <v>4072</v>
      </c>
      <c r="E880" t="s">
        <v>818</v>
      </c>
    </row>
    <row r="881" spans="1:5" x14ac:dyDescent="0.25">
      <c r="A881" t="str">
        <f t="shared" si="43"/>
        <v>03017</v>
      </c>
      <c r="B881" t="s">
        <v>1791</v>
      </c>
      <c r="C881" t="s">
        <v>1797</v>
      </c>
      <c r="D881" t="str">
        <f>"4202"</f>
        <v>4202</v>
      </c>
      <c r="E881" t="s">
        <v>818</v>
      </c>
    </row>
    <row r="882" spans="1:5" x14ac:dyDescent="0.25">
      <c r="A882" t="str">
        <f t="shared" si="43"/>
        <v>03017</v>
      </c>
      <c r="B882" t="s">
        <v>1791</v>
      </c>
      <c r="C882" t="s">
        <v>932</v>
      </c>
      <c r="D882" t="str">
        <f>"5439"</f>
        <v>5439</v>
      </c>
      <c r="E882" t="s">
        <v>830</v>
      </c>
    </row>
    <row r="883" spans="1:5" x14ac:dyDescent="0.25">
      <c r="A883" t="str">
        <f t="shared" si="43"/>
        <v>03017</v>
      </c>
      <c r="B883" t="s">
        <v>1791</v>
      </c>
      <c r="C883" t="s">
        <v>1798</v>
      </c>
      <c r="D883" t="str">
        <f>"5220"</f>
        <v>5220</v>
      </c>
      <c r="E883" t="s">
        <v>818</v>
      </c>
    </row>
    <row r="884" spans="1:5" x14ac:dyDescent="0.25">
      <c r="A884" t="str">
        <f t="shared" si="43"/>
        <v>03017</v>
      </c>
      <c r="B884" t="s">
        <v>1791</v>
      </c>
      <c r="C884" t="s">
        <v>1799</v>
      </c>
      <c r="D884" t="str">
        <f>"4028"</f>
        <v>4028</v>
      </c>
      <c r="E884" t="s">
        <v>830</v>
      </c>
    </row>
    <row r="885" spans="1:5" x14ac:dyDescent="0.25">
      <c r="A885" t="str">
        <f t="shared" si="43"/>
        <v>03017</v>
      </c>
      <c r="B885" t="s">
        <v>1791</v>
      </c>
      <c r="C885" t="s">
        <v>934</v>
      </c>
      <c r="D885" t="str">
        <f>"2824"</f>
        <v>2824</v>
      </c>
      <c r="E885" t="s">
        <v>818</v>
      </c>
    </row>
    <row r="886" spans="1:5" x14ac:dyDescent="0.25">
      <c r="A886" t="str">
        <f t="shared" si="43"/>
        <v>03017</v>
      </c>
      <c r="B886" t="s">
        <v>1791</v>
      </c>
      <c r="C886" t="s">
        <v>1800</v>
      </c>
      <c r="D886" t="str">
        <f>"3315"</f>
        <v>3315</v>
      </c>
      <c r="E886" t="s">
        <v>818</v>
      </c>
    </row>
    <row r="887" spans="1:5" x14ac:dyDescent="0.25">
      <c r="A887" t="str">
        <f t="shared" si="43"/>
        <v>03017</v>
      </c>
      <c r="B887" t="s">
        <v>1791</v>
      </c>
      <c r="C887" t="s">
        <v>1801</v>
      </c>
      <c r="D887" t="str">
        <f>"5521"</f>
        <v>5521</v>
      </c>
      <c r="E887" t="s">
        <v>818</v>
      </c>
    </row>
    <row r="888" spans="1:5" x14ac:dyDescent="0.25">
      <c r="A888" t="str">
        <f t="shared" si="43"/>
        <v>03017</v>
      </c>
      <c r="B888" t="s">
        <v>1791</v>
      </c>
      <c r="C888" t="s">
        <v>1802</v>
      </c>
      <c r="D888" t="str">
        <f>"3077"</f>
        <v>3077</v>
      </c>
      <c r="E888" t="s">
        <v>818</v>
      </c>
    </row>
    <row r="889" spans="1:5" x14ac:dyDescent="0.25">
      <c r="A889" t="str">
        <f t="shared" si="43"/>
        <v>03017</v>
      </c>
      <c r="B889" t="s">
        <v>1791</v>
      </c>
      <c r="C889" t="s">
        <v>1803</v>
      </c>
      <c r="D889" t="str">
        <f>"3267"</f>
        <v>3267</v>
      </c>
      <c r="E889" t="s">
        <v>830</v>
      </c>
    </row>
    <row r="890" spans="1:5" x14ac:dyDescent="0.25">
      <c r="A890" t="str">
        <f t="shared" si="43"/>
        <v>03017</v>
      </c>
      <c r="B890" t="s">
        <v>1791</v>
      </c>
      <c r="C890" t="s">
        <v>1804</v>
      </c>
      <c r="D890" t="str">
        <f>"4429"</f>
        <v>4429</v>
      </c>
      <c r="E890" t="s">
        <v>830</v>
      </c>
    </row>
    <row r="891" spans="1:5" x14ac:dyDescent="0.25">
      <c r="A891" t="str">
        <f t="shared" si="43"/>
        <v>03017</v>
      </c>
      <c r="B891" t="s">
        <v>1791</v>
      </c>
      <c r="C891" t="s">
        <v>1805</v>
      </c>
      <c r="D891" t="str">
        <f>"3731"</f>
        <v>3731</v>
      </c>
      <c r="E891" t="s">
        <v>824</v>
      </c>
    </row>
    <row r="892" spans="1:5" x14ac:dyDescent="0.25">
      <c r="A892" t="str">
        <f t="shared" si="43"/>
        <v>03017</v>
      </c>
      <c r="B892" t="s">
        <v>1791</v>
      </c>
      <c r="C892" t="s">
        <v>1806</v>
      </c>
      <c r="D892" t="str">
        <f>"2000"</f>
        <v>2000</v>
      </c>
      <c r="E892" t="s">
        <v>826</v>
      </c>
    </row>
    <row r="893" spans="1:5" x14ac:dyDescent="0.25">
      <c r="A893" t="str">
        <f t="shared" si="43"/>
        <v>03017</v>
      </c>
      <c r="B893" t="s">
        <v>1791</v>
      </c>
      <c r="C893" t="s">
        <v>1807</v>
      </c>
      <c r="D893" t="str">
        <f>"2826"</f>
        <v>2826</v>
      </c>
      <c r="E893" t="s">
        <v>824</v>
      </c>
    </row>
    <row r="894" spans="1:5" x14ac:dyDescent="0.25">
      <c r="A894" t="str">
        <f t="shared" si="43"/>
        <v>03017</v>
      </c>
      <c r="B894" t="s">
        <v>1791</v>
      </c>
      <c r="C894" t="s">
        <v>1522</v>
      </c>
      <c r="D894" t="str">
        <f>"1884"</f>
        <v>1884</v>
      </c>
      <c r="E894" t="s">
        <v>821</v>
      </c>
    </row>
    <row r="895" spans="1:5" x14ac:dyDescent="0.25">
      <c r="A895" t="str">
        <f t="shared" si="43"/>
        <v>03017</v>
      </c>
      <c r="B895" t="s">
        <v>1791</v>
      </c>
      <c r="C895" t="s">
        <v>1808</v>
      </c>
      <c r="D895" t="str">
        <f>"4181"</f>
        <v>4181</v>
      </c>
      <c r="E895" t="s">
        <v>818</v>
      </c>
    </row>
    <row r="896" spans="1:5" x14ac:dyDescent="0.25">
      <c r="A896" t="str">
        <f t="shared" si="43"/>
        <v>03017</v>
      </c>
      <c r="B896" t="s">
        <v>1791</v>
      </c>
      <c r="C896" t="s">
        <v>1809</v>
      </c>
      <c r="D896" t="str">
        <f>"1941"</f>
        <v>1941</v>
      </c>
      <c r="E896" t="s">
        <v>821</v>
      </c>
    </row>
    <row r="897" spans="1:5" x14ac:dyDescent="0.25">
      <c r="A897" t="str">
        <f t="shared" si="43"/>
        <v>03017</v>
      </c>
      <c r="B897" t="s">
        <v>1791</v>
      </c>
      <c r="C897" t="s">
        <v>1810</v>
      </c>
      <c r="D897" t="str">
        <f>"3472"</f>
        <v>3472</v>
      </c>
      <c r="E897" t="s">
        <v>830</v>
      </c>
    </row>
    <row r="898" spans="1:5" x14ac:dyDescent="0.25">
      <c r="A898" t="str">
        <f t="shared" si="43"/>
        <v>03017</v>
      </c>
      <c r="B898" t="s">
        <v>1791</v>
      </c>
      <c r="C898" t="s">
        <v>1811</v>
      </c>
      <c r="D898" t="str">
        <f>"5106"</f>
        <v>5106</v>
      </c>
      <c r="E898" t="s">
        <v>824</v>
      </c>
    </row>
    <row r="899" spans="1:5" x14ac:dyDescent="0.25">
      <c r="A899" t="str">
        <f t="shared" si="43"/>
        <v>03017</v>
      </c>
      <c r="B899" t="s">
        <v>1791</v>
      </c>
      <c r="C899" t="s">
        <v>1812</v>
      </c>
      <c r="D899" t="str">
        <f>"4446"</f>
        <v>4446</v>
      </c>
      <c r="E899" t="s">
        <v>818</v>
      </c>
    </row>
    <row r="900" spans="1:5" x14ac:dyDescent="0.25">
      <c r="A900" t="str">
        <f t="shared" si="43"/>
        <v>03017</v>
      </c>
      <c r="B900" t="s">
        <v>1791</v>
      </c>
      <c r="C900" t="s">
        <v>1813</v>
      </c>
      <c r="D900" t="str">
        <f>"5438"</f>
        <v>5438</v>
      </c>
      <c r="E900" t="s">
        <v>818</v>
      </c>
    </row>
    <row r="901" spans="1:5" x14ac:dyDescent="0.25">
      <c r="A901" t="str">
        <f t="shared" si="43"/>
        <v>03017</v>
      </c>
      <c r="B901" t="s">
        <v>1791</v>
      </c>
      <c r="C901" t="s">
        <v>1814</v>
      </c>
      <c r="D901" t="str">
        <f>"4073"</f>
        <v>4073</v>
      </c>
      <c r="E901" t="s">
        <v>818</v>
      </c>
    </row>
    <row r="902" spans="1:5" x14ac:dyDescent="0.25">
      <c r="A902" t="str">
        <f t="shared" si="43"/>
        <v>03017</v>
      </c>
      <c r="B902" t="s">
        <v>1791</v>
      </c>
      <c r="C902" t="s">
        <v>1815</v>
      </c>
      <c r="D902" t="str">
        <f>"4484"</f>
        <v>4484</v>
      </c>
      <c r="E902" t="s">
        <v>824</v>
      </c>
    </row>
    <row r="903" spans="1:5" x14ac:dyDescent="0.25">
      <c r="A903" t="str">
        <f t="shared" si="43"/>
        <v>03017</v>
      </c>
      <c r="B903" t="s">
        <v>1791</v>
      </c>
      <c r="C903" t="s">
        <v>1816</v>
      </c>
      <c r="D903" t="str">
        <f>"4136"</f>
        <v>4136</v>
      </c>
      <c r="E903" t="s">
        <v>818</v>
      </c>
    </row>
    <row r="904" spans="1:5" x14ac:dyDescent="0.25">
      <c r="A904" t="str">
        <f t="shared" si="43"/>
        <v>03017</v>
      </c>
      <c r="B904" t="s">
        <v>1791</v>
      </c>
      <c r="C904" t="s">
        <v>1817</v>
      </c>
      <c r="D904" t="str">
        <f>"4118"</f>
        <v>4118</v>
      </c>
      <c r="E904" t="s">
        <v>824</v>
      </c>
    </row>
    <row r="905" spans="1:5" x14ac:dyDescent="0.25">
      <c r="A905" t="str">
        <f t="shared" si="43"/>
        <v>03017</v>
      </c>
      <c r="B905" t="s">
        <v>1791</v>
      </c>
      <c r="C905" t="s">
        <v>1818</v>
      </c>
      <c r="D905" t="str">
        <f>"3369"</f>
        <v>3369</v>
      </c>
      <c r="E905" t="s">
        <v>818</v>
      </c>
    </row>
    <row r="906" spans="1:5" x14ac:dyDescent="0.25">
      <c r="A906" t="str">
        <f t="shared" si="43"/>
        <v>03017</v>
      </c>
      <c r="B906" t="s">
        <v>1791</v>
      </c>
      <c r="C906" t="s">
        <v>887</v>
      </c>
      <c r="D906" t="str">
        <f>"3144"</f>
        <v>3144</v>
      </c>
      <c r="E906" t="s">
        <v>818</v>
      </c>
    </row>
    <row r="907" spans="1:5" x14ac:dyDescent="0.25">
      <c r="A907" t="str">
        <f t="shared" si="43"/>
        <v>03017</v>
      </c>
      <c r="B907" t="s">
        <v>1791</v>
      </c>
      <c r="C907" t="s">
        <v>1819</v>
      </c>
      <c r="D907" t="str">
        <f>"2825"</f>
        <v>2825</v>
      </c>
      <c r="E907" t="s">
        <v>818</v>
      </c>
    </row>
    <row r="908" spans="1:5" x14ac:dyDescent="0.25">
      <c r="A908" t="str">
        <f t="shared" ref="A908:A951" si="44">"17415"</f>
        <v>17415</v>
      </c>
      <c r="B908" t="s">
        <v>1820</v>
      </c>
      <c r="C908" t="s">
        <v>1821</v>
      </c>
      <c r="D908" t="str">
        <f>"5150"</f>
        <v>5150</v>
      </c>
      <c r="E908" t="s">
        <v>826</v>
      </c>
    </row>
    <row r="909" spans="1:5" x14ac:dyDescent="0.25">
      <c r="A909" t="str">
        <f t="shared" si="44"/>
        <v>17415</v>
      </c>
      <c r="B909" t="s">
        <v>1820</v>
      </c>
      <c r="C909" t="s">
        <v>1822</v>
      </c>
      <c r="D909" t="str">
        <f>"4353"</f>
        <v>4353</v>
      </c>
      <c r="E909" t="s">
        <v>818</v>
      </c>
    </row>
    <row r="910" spans="1:5" x14ac:dyDescent="0.25">
      <c r="A910" t="str">
        <f t="shared" si="44"/>
        <v>17415</v>
      </c>
      <c r="B910" t="s">
        <v>1820</v>
      </c>
      <c r="C910" t="s">
        <v>1823</v>
      </c>
      <c r="D910" t="str">
        <f>"4440"</f>
        <v>4440</v>
      </c>
      <c r="E910" t="s">
        <v>830</v>
      </c>
    </row>
    <row r="911" spans="1:5" x14ac:dyDescent="0.25">
      <c r="A911" t="str">
        <f t="shared" si="44"/>
        <v>17415</v>
      </c>
      <c r="B911" t="s">
        <v>1820</v>
      </c>
      <c r="C911" t="s">
        <v>1824</v>
      </c>
      <c r="D911" t="str">
        <f>"3676"</f>
        <v>3676</v>
      </c>
      <c r="E911" t="s">
        <v>818</v>
      </c>
    </row>
    <row r="912" spans="1:5" x14ac:dyDescent="0.25">
      <c r="A912" t="str">
        <f t="shared" si="44"/>
        <v>17415</v>
      </c>
      <c r="B912" t="s">
        <v>1820</v>
      </c>
      <c r="C912" t="s">
        <v>1825</v>
      </c>
      <c r="D912" t="str">
        <f>"3388"</f>
        <v>3388</v>
      </c>
      <c r="E912" t="s">
        <v>818</v>
      </c>
    </row>
    <row r="913" spans="1:5" x14ac:dyDescent="0.25">
      <c r="A913" t="str">
        <f t="shared" si="44"/>
        <v>17415</v>
      </c>
      <c r="B913" t="s">
        <v>1820</v>
      </c>
      <c r="C913" t="s">
        <v>1826</v>
      </c>
      <c r="D913" t="str">
        <f>"4126"</f>
        <v>4126</v>
      </c>
      <c r="E913" t="s">
        <v>818</v>
      </c>
    </row>
    <row r="914" spans="1:5" x14ac:dyDescent="0.25">
      <c r="A914" t="str">
        <f t="shared" si="44"/>
        <v>17415</v>
      </c>
      <c r="B914" t="s">
        <v>1820</v>
      </c>
      <c r="C914" t="s">
        <v>1827</v>
      </c>
      <c r="D914" t="str">
        <f>"2851"</f>
        <v>2851</v>
      </c>
      <c r="E914" t="s">
        <v>818</v>
      </c>
    </row>
    <row r="915" spans="1:5" x14ac:dyDescent="0.25">
      <c r="A915" t="str">
        <f t="shared" si="44"/>
        <v>17415</v>
      </c>
      <c r="B915" t="s">
        <v>1820</v>
      </c>
      <c r="C915" t="s">
        <v>1828</v>
      </c>
      <c r="D915" t="str">
        <f>"4545"</f>
        <v>4545</v>
      </c>
      <c r="E915" t="s">
        <v>818</v>
      </c>
    </row>
    <row r="916" spans="1:5" x14ac:dyDescent="0.25">
      <c r="A916" t="str">
        <f t="shared" si="44"/>
        <v>17415</v>
      </c>
      <c r="B916" t="s">
        <v>1820</v>
      </c>
      <c r="C916" t="s">
        <v>1829</v>
      </c>
      <c r="D916" t="str">
        <f>"3678"</f>
        <v>3678</v>
      </c>
      <c r="E916" t="s">
        <v>818</v>
      </c>
    </row>
    <row r="917" spans="1:5" x14ac:dyDescent="0.25">
      <c r="A917" t="str">
        <f t="shared" si="44"/>
        <v>17415</v>
      </c>
      <c r="B917" t="s">
        <v>1820</v>
      </c>
      <c r="C917" t="s">
        <v>1830</v>
      </c>
      <c r="D917" t="str">
        <f>"4413"</f>
        <v>4413</v>
      </c>
      <c r="E917" t="s">
        <v>818</v>
      </c>
    </row>
    <row r="918" spans="1:5" x14ac:dyDescent="0.25">
      <c r="A918" t="str">
        <f t="shared" si="44"/>
        <v>17415</v>
      </c>
      <c r="B918" t="s">
        <v>1820</v>
      </c>
      <c r="C918" t="s">
        <v>1831</v>
      </c>
      <c r="D918" t="str">
        <f>"4489"</f>
        <v>4489</v>
      </c>
      <c r="E918" t="s">
        <v>818</v>
      </c>
    </row>
    <row r="919" spans="1:5" x14ac:dyDescent="0.25">
      <c r="A919" t="str">
        <f t="shared" si="44"/>
        <v>17415</v>
      </c>
      <c r="B919" t="s">
        <v>1820</v>
      </c>
      <c r="C919" t="s">
        <v>1832</v>
      </c>
      <c r="D919" t="str">
        <f>"3708"</f>
        <v>3708</v>
      </c>
      <c r="E919" t="s">
        <v>818</v>
      </c>
    </row>
    <row r="920" spans="1:5" x14ac:dyDescent="0.25">
      <c r="A920" t="str">
        <f t="shared" si="44"/>
        <v>17415</v>
      </c>
      <c r="B920" t="s">
        <v>1820</v>
      </c>
      <c r="C920" t="s">
        <v>1833</v>
      </c>
      <c r="D920" t="str">
        <f>"4345"</f>
        <v>4345</v>
      </c>
      <c r="E920" t="s">
        <v>818</v>
      </c>
    </row>
    <row r="921" spans="1:5" x14ac:dyDescent="0.25">
      <c r="A921" t="str">
        <f t="shared" si="44"/>
        <v>17415</v>
      </c>
      <c r="B921" t="s">
        <v>1820</v>
      </c>
      <c r="C921" t="s">
        <v>1834</v>
      </c>
      <c r="D921" t="str">
        <f>"5275"</f>
        <v>5275</v>
      </c>
      <c r="E921" t="s">
        <v>824</v>
      </c>
    </row>
    <row r="922" spans="1:5" x14ac:dyDescent="0.25">
      <c r="A922" t="str">
        <f t="shared" si="44"/>
        <v>17415</v>
      </c>
      <c r="B922" t="s">
        <v>1820</v>
      </c>
      <c r="C922" t="s">
        <v>1835</v>
      </c>
      <c r="D922" t="str">
        <f>"4301"</f>
        <v>4301</v>
      </c>
      <c r="E922" t="s">
        <v>818</v>
      </c>
    </row>
    <row r="923" spans="1:5" x14ac:dyDescent="0.25">
      <c r="A923" t="str">
        <f t="shared" si="44"/>
        <v>17415</v>
      </c>
      <c r="B923" t="s">
        <v>1820</v>
      </c>
      <c r="C923" t="s">
        <v>1836</v>
      </c>
      <c r="D923" t="str">
        <f>"4520"</f>
        <v>4520</v>
      </c>
      <c r="E923" t="s">
        <v>818</v>
      </c>
    </row>
    <row r="924" spans="1:5" x14ac:dyDescent="0.25">
      <c r="A924" t="str">
        <f t="shared" si="44"/>
        <v>17415</v>
      </c>
      <c r="B924" t="s">
        <v>1820</v>
      </c>
      <c r="C924" t="s">
        <v>1837</v>
      </c>
      <c r="D924" t="str">
        <f>"3014"</f>
        <v>3014</v>
      </c>
      <c r="E924" t="s">
        <v>859</v>
      </c>
    </row>
    <row r="925" spans="1:5" x14ac:dyDescent="0.25">
      <c r="A925" t="str">
        <f t="shared" si="44"/>
        <v>17415</v>
      </c>
      <c r="B925" t="s">
        <v>1820</v>
      </c>
      <c r="C925" t="s">
        <v>1838</v>
      </c>
      <c r="D925" t="str">
        <f>"5098"</f>
        <v>5098</v>
      </c>
      <c r="E925" t="s">
        <v>824</v>
      </c>
    </row>
    <row r="926" spans="1:5" x14ac:dyDescent="0.25">
      <c r="A926" t="str">
        <f t="shared" si="44"/>
        <v>17415</v>
      </c>
      <c r="B926" t="s">
        <v>1820</v>
      </c>
      <c r="C926" t="s">
        <v>1839</v>
      </c>
      <c r="D926" t="str">
        <f>"4492"</f>
        <v>4492</v>
      </c>
      <c r="E926" t="s">
        <v>824</v>
      </c>
    </row>
    <row r="927" spans="1:5" x14ac:dyDescent="0.25">
      <c r="A927" t="str">
        <f t="shared" si="44"/>
        <v>17415</v>
      </c>
      <c r="B927" t="s">
        <v>1820</v>
      </c>
      <c r="C927" t="s">
        <v>1840</v>
      </c>
      <c r="D927" t="str">
        <f>"2797"</f>
        <v>2797</v>
      </c>
      <c r="E927" t="s">
        <v>824</v>
      </c>
    </row>
    <row r="928" spans="1:5" x14ac:dyDescent="0.25">
      <c r="A928" t="str">
        <f t="shared" si="44"/>
        <v>17415</v>
      </c>
      <c r="B928" t="s">
        <v>1820</v>
      </c>
      <c r="C928" t="s">
        <v>1841</v>
      </c>
      <c r="D928" t="str">
        <f>"3640"</f>
        <v>3640</v>
      </c>
      <c r="E928" t="s">
        <v>824</v>
      </c>
    </row>
    <row r="929" spans="1:5" x14ac:dyDescent="0.25">
      <c r="A929" t="str">
        <f t="shared" si="44"/>
        <v>17415</v>
      </c>
      <c r="B929" t="s">
        <v>1820</v>
      </c>
      <c r="C929" t="s">
        <v>1842</v>
      </c>
      <c r="D929" t="str">
        <f>"4128"</f>
        <v>4128</v>
      </c>
      <c r="E929" t="s">
        <v>824</v>
      </c>
    </row>
    <row r="930" spans="1:5" x14ac:dyDescent="0.25">
      <c r="A930" t="str">
        <f t="shared" si="44"/>
        <v>17415</v>
      </c>
      <c r="B930" t="s">
        <v>1820</v>
      </c>
      <c r="C930" t="s">
        <v>1843</v>
      </c>
      <c r="D930" t="str">
        <f>"3550"</f>
        <v>3550</v>
      </c>
      <c r="E930" t="s">
        <v>818</v>
      </c>
    </row>
    <row r="931" spans="1:5" x14ac:dyDescent="0.25">
      <c r="A931" t="str">
        <f t="shared" si="44"/>
        <v>17415</v>
      </c>
      <c r="B931" t="s">
        <v>1820</v>
      </c>
      <c r="C931" t="s">
        <v>1844</v>
      </c>
      <c r="D931" t="str">
        <f>"4294"</f>
        <v>4294</v>
      </c>
      <c r="E931" t="s">
        <v>818</v>
      </c>
    </row>
    <row r="932" spans="1:5" x14ac:dyDescent="0.25">
      <c r="A932" t="str">
        <f t="shared" si="44"/>
        <v>17415</v>
      </c>
      <c r="B932" t="s">
        <v>1820</v>
      </c>
      <c r="C932" t="s">
        <v>1845</v>
      </c>
      <c r="D932" t="str">
        <f>"4127"</f>
        <v>4127</v>
      </c>
      <c r="E932" t="s">
        <v>830</v>
      </c>
    </row>
    <row r="933" spans="1:5" x14ac:dyDescent="0.25">
      <c r="A933" t="str">
        <f t="shared" si="44"/>
        <v>17415</v>
      </c>
      <c r="B933" t="s">
        <v>1820</v>
      </c>
      <c r="C933" t="s">
        <v>1846</v>
      </c>
      <c r="D933" t="str">
        <f>"4465"</f>
        <v>4465</v>
      </c>
      <c r="E933" t="s">
        <v>818</v>
      </c>
    </row>
    <row r="934" spans="1:5" x14ac:dyDescent="0.25">
      <c r="A934" t="str">
        <f t="shared" si="44"/>
        <v>17415</v>
      </c>
      <c r="B934" t="s">
        <v>1820</v>
      </c>
      <c r="C934" t="s">
        <v>1847</v>
      </c>
      <c r="D934" t="str">
        <f>"3764"</f>
        <v>3764</v>
      </c>
      <c r="E934" t="s">
        <v>830</v>
      </c>
    </row>
    <row r="935" spans="1:5" x14ac:dyDescent="0.25">
      <c r="A935" t="str">
        <f t="shared" si="44"/>
        <v>17415</v>
      </c>
      <c r="B935" t="s">
        <v>1820</v>
      </c>
      <c r="C935" t="s">
        <v>1848</v>
      </c>
      <c r="D935" t="str">
        <f>"2565"</f>
        <v>2565</v>
      </c>
      <c r="E935" t="s">
        <v>818</v>
      </c>
    </row>
    <row r="936" spans="1:5" x14ac:dyDescent="0.25">
      <c r="A936" t="str">
        <f t="shared" si="44"/>
        <v>17415</v>
      </c>
      <c r="B936" t="s">
        <v>1820</v>
      </c>
      <c r="C936" t="s">
        <v>1849</v>
      </c>
      <c r="D936" t="str">
        <f>"3233"</f>
        <v>3233</v>
      </c>
      <c r="E936" t="s">
        <v>830</v>
      </c>
    </row>
    <row r="937" spans="1:5" x14ac:dyDescent="0.25">
      <c r="A937" t="str">
        <f t="shared" si="44"/>
        <v>17415</v>
      </c>
      <c r="B937" t="s">
        <v>1820</v>
      </c>
      <c r="C937" t="s">
        <v>1850</v>
      </c>
      <c r="D937" t="str">
        <f>"5016"</f>
        <v>5016</v>
      </c>
      <c r="E937" t="s">
        <v>830</v>
      </c>
    </row>
    <row r="938" spans="1:5" x14ac:dyDescent="0.25">
      <c r="A938" t="str">
        <f t="shared" si="44"/>
        <v>17415</v>
      </c>
      <c r="B938" t="s">
        <v>1820</v>
      </c>
      <c r="C938" t="s">
        <v>1851</v>
      </c>
      <c r="D938" t="str">
        <f>"4581"</f>
        <v>4581</v>
      </c>
      <c r="E938" t="s">
        <v>818</v>
      </c>
    </row>
    <row r="939" spans="1:5" x14ac:dyDescent="0.25">
      <c r="A939" t="str">
        <f t="shared" si="44"/>
        <v>17415</v>
      </c>
      <c r="B939" t="s">
        <v>1820</v>
      </c>
      <c r="C939" t="s">
        <v>1852</v>
      </c>
      <c r="D939" t="str">
        <f>"4356"</f>
        <v>4356</v>
      </c>
      <c r="E939" t="s">
        <v>818</v>
      </c>
    </row>
    <row r="940" spans="1:5" x14ac:dyDescent="0.25">
      <c r="A940" t="str">
        <f t="shared" si="44"/>
        <v>17415</v>
      </c>
      <c r="B940" t="s">
        <v>1820</v>
      </c>
      <c r="C940" t="s">
        <v>1853</v>
      </c>
      <c r="D940" t="str">
        <f>"4485"</f>
        <v>4485</v>
      </c>
      <c r="E940" t="s">
        <v>830</v>
      </c>
    </row>
    <row r="941" spans="1:5" x14ac:dyDescent="0.25">
      <c r="A941" t="str">
        <f t="shared" si="44"/>
        <v>17415</v>
      </c>
      <c r="B941" t="s">
        <v>1820</v>
      </c>
      <c r="C941" t="s">
        <v>1569</v>
      </c>
      <c r="D941" t="str">
        <f>"5178"</f>
        <v>5178</v>
      </c>
      <c r="E941" t="s">
        <v>818</v>
      </c>
    </row>
    <row r="942" spans="1:5" x14ac:dyDescent="0.25">
      <c r="A942" t="str">
        <f t="shared" si="44"/>
        <v>17415</v>
      </c>
      <c r="B942" t="s">
        <v>1820</v>
      </c>
      <c r="C942" t="s">
        <v>1854</v>
      </c>
      <c r="D942" t="str">
        <f>"3491"</f>
        <v>3491</v>
      </c>
      <c r="E942" t="s">
        <v>818</v>
      </c>
    </row>
    <row r="943" spans="1:5" x14ac:dyDescent="0.25">
      <c r="A943" t="str">
        <f t="shared" si="44"/>
        <v>17415</v>
      </c>
      <c r="B943" t="s">
        <v>1820</v>
      </c>
      <c r="C943" t="s">
        <v>1855</v>
      </c>
      <c r="D943" t="str">
        <f>"3593"</f>
        <v>3593</v>
      </c>
      <c r="E943" t="s">
        <v>818</v>
      </c>
    </row>
    <row r="944" spans="1:5" x14ac:dyDescent="0.25">
      <c r="A944" t="str">
        <f t="shared" si="44"/>
        <v>17415</v>
      </c>
      <c r="B944" t="s">
        <v>1820</v>
      </c>
      <c r="C944" t="s">
        <v>1856</v>
      </c>
      <c r="D944" t="str">
        <f>"1807"</f>
        <v>1807</v>
      </c>
      <c r="E944" t="s">
        <v>824</v>
      </c>
    </row>
    <row r="945" spans="1:5" x14ac:dyDescent="0.25">
      <c r="A945" t="str">
        <f t="shared" si="44"/>
        <v>17415</v>
      </c>
      <c r="B945" t="s">
        <v>1820</v>
      </c>
      <c r="C945" t="s">
        <v>1857</v>
      </c>
      <c r="D945" t="str">
        <f>"4293"</f>
        <v>4293</v>
      </c>
      <c r="E945" t="s">
        <v>818</v>
      </c>
    </row>
    <row r="946" spans="1:5" x14ac:dyDescent="0.25">
      <c r="A946" t="str">
        <f t="shared" si="44"/>
        <v>17415</v>
      </c>
      <c r="B946" t="s">
        <v>1820</v>
      </c>
      <c r="C946" t="s">
        <v>1858</v>
      </c>
      <c r="D946" t="str">
        <f>"4466"</f>
        <v>4466</v>
      </c>
      <c r="E946" t="s">
        <v>818</v>
      </c>
    </row>
    <row r="947" spans="1:5" x14ac:dyDescent="0.25">
      <c r="A947" t="str">
        <f t="shared" si="44"/>
        <v>17415</v>
      </c>
      <c r="B947" t="s">
        <v>1820</v>
      </c>
      <c r="C947" t="s">
        <v>1859</v>
      </c>
      <c r="D947" t="str">
        <f>"3389"</f>
        <v>3389</v>
      </c>
      <c r="E947" t="s">
        <v>818</v>
      </c>
    </row>
    <row r="948" spans="1:5" x14ac:dyDescent="0.25">
      <c r="A948" t="str">
        <f t="shared" si="44"/>
        <v>17415</v>
      </c>
      <c r="B948" t="s">
        <v>1820</v>
      </c>
      <c r="C948" t="s">
        <v>1860</v>
      </c>
      <c r="D948" t="str">
        <f>"3707"</f>
        <v>3707</v>
      </c>
      <c r="E948" t="s">
        <v>818</v>
      </c>
    </row>
    <row r="949" spans="1:5" x14ac:dyDescent="0.25">
      <c r="A949" t="str">
        <f t="shared" si="44"/>
        <v>17415</v>
      </c>
      <c r="B949" t="s">
        <v>1820</v>
      </c>
      <c r="C949" t="s">
        <v>1861</v>
      </c>
      <c r="D949" t="str">
        <f>"3677"</f>
        <v>3677</v>
      </c>
      <c r="E949" t="s">
        <v>818</v>
      </c>
    </row>
    <row r="950" spans="1:5" x14ac:dyDescent="0.25">
      <c r="A950" t="str">
        <f t="shared" si="44"/>
        <v>17415</v>
      </c>
      <c r="B950" t="s">
        <v>1820</v>
      </c>
      <c r="C950" t="s">
        <v>1862</v>
      </c>
      <c r="D950" t="str">
        <f>"4420"</f>
        <v>4420</v>
      </c>
      <c r="E950" t="s">
        <v>818</v>
      </c>
    </row>
    <row r="951" spans="1:5" x14ac:dyDescent="0.25">
      <c r="A951" t="str">
        <f t="shared" si="44"/>
        <v>17415</v>
      </c>
      <c r="B951" t="s">
        <v>1820</v>
      </c>
      <c r="C951" t="s">
        <v>1863</v>
      </c>
      <c r="D951" t="str">
        <f>"5440"</f>
        <v>5440</v>
      </c>
      <c r="E951" t="s">
        <v>824</v>
      </c>
    </row>
    <row r="952" spans="1:5" x14ac:dyDescent="0.25">
      <c r="A952" t="str">
        <f>"33212"</f>
        <v>33212</v>
      </c>
      <c r="B952" t="s">
        <v>1864</v>
      </c>
      <c r="C952" t="s">
        <v>1865</v>
      </c>
      <c r="D952" t="str">
        <f>"5180"</f>
        <v>5180</v>
      </c>
      <c r="E952" t="s">
        <v>824</v>
      </c>
    </row>
    <row r="953" spans="1:5" x14ac:dyDescent="0.25">
      <c r="A953" t="str">
        <f>"33212"</f>
        <v>33212</v>
      </c>
      <c r="B953" t="s">
        <v>1864</v>
      </c>
      <c r="C953" t="s">
        <v>1866</v>
      </c>
      <c r="D953" t="str">
        <f>"5516"</f>
        <v>5516</v>
      </c>
      <c r="E953" t="s">
        <v>826</v>
      </c>
    </row>
    <row r="954" spans="1:5" x14ac:dyDescent="0.25">
      <c r="A954" t="str">
        <f>"33212"</f>
        <v>33212</v>
      </c>
      <c r="B954" t="s">
        <v>1864</v>
      </c>
      <c r="C954" t="s">
        <v>1867</v>
      </c>
      <c r="D954" t="str">
        <f>"2385"</f>
        <v>2385</v>
      </c>
      <c r="E954" t="s">
        <v>818</v>
      </c>
    </row>
    <row r="955" spans="1:5" x14ac:dyDescent="0.25">
      <c r="A955" t="str">
        <f>"33212"</f>
        <v>33212</v>
      </c>
      <c r="B955" t="s">
        <v>1864</v>
      </c>
      <c r="C955" t="s">
        <v>1868</v>
      </c>
      <c r="D955" t="str">
        <f>"4206"</f>
        <v>4206</v>
      </c>
      <c r="E955" t="s">
        <v>824</v>
      </c>
    </row>
    <row r="956" spans="1:5" x14ac:dyDescent="0.25">
      <c r="A956" t="str">
        <f>"33212"</f>
        <v>33212</v>
      </c>
      <c r="B956" t="s">
        <v>1864</v>
      </c>
      <c r="C956" t="s">
        <v>1869</v>
      </c>
      <c r="D956" t="str">
        <f>"3198"</f>
        <v>3198</v>
      </c>
      <c r="E956" t="s">
        <v>830</v>
      </c>
    </row>
    <row r="957" spans="1:5" x14ac:dyDescent="0.25">
      <c r="A957" t="str">
        <f>"03052"</f>
        <v>03052</v>
      </c>
      <c r="B957" t="s">
        <v>1870</v>
      </c>
      <c r="C957" t="s">
        <v>1871</v>
      </c>
      <c r="D957" t="str">
        <f>"2904"</f>
        <v>2904</v>
      </c>
      <c r="E957" t="s">
        <v>824</v>
      </c>
    </row>
    <row r="958" spans="1:5" x14ac:dyDescent="0.25">
      <c r="A958" t="str">
        <f>"03052"</f>
        <v>03052</v>
      </c>
      <c r="B958" t="s">
        <v>1870</v>
      </c>
      <c r="C958" t="s">
        <v>1872</v>
      </c>
      <c r="D958" t="str">
        <f>"3961"</f>
        <v>3961</v>
      </c>
      <c r="E958" t="s">
        <v>830</v>
      </c>
    </row>
    <row r="959" spans="1:5" x14ac:dyDescent="0.25">
      <c r="A959" t="str">
        <f>"03052"</f>
        <v>03052</v>
      </c>
      <c r="B959" t="s">
        <v>1870</v>
      </c>
      <c r="C959" t="s">
        <v>1873</v>
      </c>
      <c r="D959" t="str">
        <f>"2759"</f>
        <v>2759</v>
      </c>
      <c r="E959" t="s">
        <v>818</v>
      </c>
    </row>
    <row r="960" spans="1:5" x14ac:dyDescent="0.25">
      <c r="A960" t="str">
        <f>"03052"</f>
        <v>03052</v>
      </c>
      <c r="B960" t="s">
        <v>1870</v>
      </c>
      <c r="C960" t="s">
        <v>1874</v>
      </c>
      <c r="D960" t="str">
        <f>"4217"</f>
        <v>4217</v>
      </c>
      <c r="E960" t="s">
        <v>818</v>
      </c>
    </row>
    <row r="961" spans="1:5" x14ac:dyDescent="0.25">
      <c r="A961" t="str">
        <f>"19403"</f>
        <v>19403</v>
      </c>
      <c r="B961" t="s">
        <v>1875</v>
      </c>
      <c r="C961" t="s">
        <v>1876</v>
      </c>
      <c r="D961" t="str">
        <f>"5086"</f>
        <v>5086</v>
      </c>
      <c r="E961" t="s">
        <v>826</v>
      </c>
    </row>
    <row r="962" spans="1:5" x14ac:dyDescent="0.25">
      <c r="A962" t="str">
        <f>"19403"</f>
        <v>19403</v>
      </c>
      <c r="B962" t="s">
        <v>1875</v>
      </c>
      <c r="C962" t="s">
        <v>1877</v>
      </c>
      <c r="D962" t="str">
        <f>"2569"</f>
        <v>2569</v>
      </c>
      <c r="E962" t="s">
        <v>818</v>
      </c>
    </row>
    <row r="963" spans="1:5" x14ac:dyDescent="0.25">
      <c r="A963" t="str">
        <f>"19403"</f>
        <v>19403</v>
      </c>
      <c r="B963" t="s">
        <v>1875</v>
      </c>
      <c r="C963" t="s">
        <v>1878</v>
      </c>
      <c r="D963" t="str">
        <f>"2766"</f>
        <v>2766</v>
      </c>
      <c r="E963" t="s">
        <v>821</v>
      </c>
    </row>
    <row r="964" spans="1:5" x14ac:dyDescent="0.25">
      <c r="A964" t="str">
        <f>"19403"</f>
        <v>19403</v>
      </c>
      <c r="B964" t="s">
        <v>1875</v>
      </c>
      <c r="C964" t="s">
        <v>1879</v>
      </c>
      <c r="D964" t="str">
        <f>"3213"</f>
        <v>3213</v>
      </c>
      <c r="E964" t="s">
        <v>824</v>
      </c>
    </row>
    <row r="965" spans="1:5" x14ac:dyDescent="0.25">
      <c r="A965" t="str">
        <f>"20402"</f>
        <v>20402</v>
      </c>
      <c r="B965" t="s">
        <v>1880</v>
      </c>
      <c r="C965" t="s">
        <v>1881</v>
      </c>
      <c r="D965" t="str">
        <f>"3494"</f>
        <v>3494</v>
      </c>
      <c r="E965" t="s">
        <v>859</v>
      </c>
    </row>
    <row r="966" spans="1:5" x14ac:dyDescent="0.25">
      <c r="A966" t="str">
        <f>"06101"</f>
        <v>06101</v>
      </c>
      <c r="B966" t="s">
        <v>1882</v>
      </c>
      <c r="C966" t="s">
        <v>1883</v>
      </c>
      <c r="D966" t="str">
        <f>"2558"</f>
        <v>2558</v>
      </c>
      <c r="E966" t="s">
        <v>818</v>
      </c>
    </row>
    <row r="967" spans="1:5" x14ac:dyDescent="0.25">
      <c r="A967" t="str">
        <f>"06101"</f>
        <v>06101</v>
      </c>
      <c r="B967" t="s">
        <v>1882</v>
      </c>
      <c r="C967" t="s">
        <v>1884</v>
      </c>
      <c r="D967" t="str">
        <f>"4431"</f>
        <v>4431</v>
      </c>
      <c r="E967" t="s">
        <v>824</v>
      </c>
    </row>
    <row r="968" spans="1:5" x14ac:dyDescent="0.25">
      <c r="A968" t="str">
        <f>"06101"</f>
        <v>06101</v>
      </c>
      <c r="B968" t="s">
        <v>1882</v>
      </c>
      <c r="C968" t="s">
        <v>1885</v>
      </c>
      <c r="D968" t="str">
        <f>"5326"</f>
        <v>5326</v>
      </c>
      <c r="E968" t="s">
        <v>859</v>
      </c>
    </row>
    <row r="969" spans="1:5" x14ac:dyDescent="0.25">
      <c r="A969" t="str">
        <f>"06101"</f>
        <v>06101</v>
      </c>
      <c r="B969" t="s">
        <v>1882</v>
      </c>
      <c r="C969" t="s">
        <v>1886</v>
      </c>
      <c r="D969" t="str">
        <f>"3371"</f>
        <v>3371</v>
      </c>
      <c r="E969" t="s">
        <v>830</v>
      </c>
    </row>
    <row r="970" spans="1:5" x14ac:dyDescent="0.25">
      <c r="A970" t="str">
        <f>"29311"</f>
        <v>29311</v>
      </c>
      <c r="B970" t="s">
        <v>1887</v>
      </c>
      <c r="C970" t="s">
        <v>1888</v>
      </c>
      <c r="D970" t="str">
        <f>"2522"</f>
        <v>2522</v>
      </c>
      <c r="E970" t="s">
        <v>818</v>
      </c>
    </row>
    <row r="971" spans="1:5" x14ac:dyDescent="0.25">
      <c r="A971" t="str">
        <f>"29311"</f>
        <v>29311</v>
      </c>
      <c r="B971" t="s">
        <v>1887</v>
      </c>
      <c r="C971" t="s">
        <v>1889</v>
      </c>
      <c r="D971" t="str">
        <f>"2276"</f>
        <v>2276</v>
      </c>
      <c r="E971" t="s">
        <v>824</v>
      </c>
    </row>
    <row r="972" spans="1:5" x14ac:dyDescent="0.25">
      <c r="A972" t="str">
        <f>"29311"</f>
        <v>29311</v>
      </c>
      <c r="B972" t="s">
        <v>1887</v>
      </c>
      <c r="C972" t="s">
        <v>1890</v>
      </c>
      <c r="D972" t="str">
        <f>"3900"</f>
        <v>3900</v>
      </c>
      <c r="E972" t="s">
        <v>830</v>
      </c>
    </row>
    <row r="973" spans="1:5" x14ac:dyDescent="0.25">
      <c r="A973" t="str">
        <f>"38126"</f>
        <v>38126</v>
      </c>
      <c r="B973" t="s">
        <v>1891</v>
      </c>
      <c r="C973" t="s">
        <v>1892</v>
      </c>
      <c r="D973" t="str">
        <f>"2087"</f>
        <v>2087</v>
      </c>
      <c r="E973" t="s">
        <v>821</v>
      </c>
    </row>
    <row r="974" spans="1:5" x14ac:dyDescent="0.25">
      <c r="A974" t="str">
        <f>"38126"</f>
        <v>38126</v>
      </c>
      <c r="B974" t="s">
        <v>1891</v>
      </c>
      <c r="C974" t="s">
        <v>1893</v>
      </c>
      <c r="D974" t="str">
        <f>"2088"</f>
        <v>2088</v>
      </c>
      <c r="E974" t="s">
        <v>824</v>
      </c>
    </row>
    <row r="975" spans="1:5" x14ac:dyDescent="0.25">
      <c r="A975" t="str">
        <f t="shared" ref="A975:A980" si="45">"04129"</f>
        <v>04129</v>
      </c>
      <c r="B975" t="s">
        <v>1894</v>
      </c>
      <c r="C975" t="s">
        <v>1895</v>
      </c>
      <c r="D975" t="str">
        <f>"4260"</f>
        <v>4260</v>
      </c>
      <c r="E975" t="s">
        <v>824</v>
      </c>
    </row>
    <row r="976" spans="1:5" x14ac:dyDescent="0.25">
      <c r="A976" t="str">
        <f t="shared" si="45"/>
        <v>04129</v>
      </c>
      <c r="B976" t="s">
        <v>1894</v>
      </c>
      <c r="C976" t="s">
        <v>1896</v>
      </c>
      <c r="D976" t="str">
        <f>"2317"</f>
        <v>2317</v>
      </c>
      <c r="E976" t="s">
        <v>830</v>
      </c>
    </row>
    <row r="977" spans="1:5" x14ac:dyDescent="0.25">
      <c r="A977" t="str">
        <f t="shared" si="45"/>
        <v>04129</v>
      </c>
      <c r="B977" t="s">
        <v>1894</v>
      </c>
      <c r="C977" t="s">
        <v>1897</v>
      </c>
      <c r="D977" t="str">
        <f>"1940"</f>
        <v>1940</v>
      </c>
      <c r="E977" t="s">
        <v>824</v>
      </c>
    </row>
    <row r="978" spans="1:5" x14ac:dyDescent="0.25">
      <c r="A978" t="str">
        <f t="shared" si="45"/>
        <v>04129</v>
      </c>
      <c r="B978" t="s">
        <v>1894</v>
      </c>
      <c r="C978" t="s">
        <v>1898</v>
      </c>
      <c r="D978" t="str">
        <f>"3861"</f>
        <v>3861</v>
      </c>
      <c r="E978" t="s">
        <v>859</v>
      </c>
    </row>
    <row r="979" spans="1:5" x14ac:dyDescent="0.25">
      <c r="A979" t="str">
        <f t="shared" si="45"/>
        <v>04129</v>
      </c>
      <c r="B979" t="s">
        <v>1894</v>
      </c>
      <c r="C979" t="s">
        <v>1899</v>
      </c>
      <c r="D979" t="str">
        <f>"1675"</f>
        <v>1675</v>
      </c>
      <c r="E979" t="s">
        <v>826</v>
      </c>
    </row>
    <row r="980" spans="1:5" x14ac:dyDescent="0.25">
      <c r="A980" t="str">
        <f t="shared" si="45"/>
        <v>04129</v>
      </c>
      <c r="B980" t="s">
        <v>1894</v>
      </c>
      <c r="C980" t="s">
        <v>1900</v>
      </c>
      <c r="D980" t="str">
        <f>"2689"</f>
        <v>2689</v>
      </c>
      <c r="E980" t="s">
        <v>818</v>
      </c>
    </row>
    <row r="981" spans="1:5" x14ac:dyDescent="0.25">
      <c r="A981" t="str">
        <f>"14097"</f>
        <v>14097</v>
      </c>
      <c r="B981" t="s">
        <v>1901</v>
      </c>
      <c r="C981" t="s">
        <v>1902</v>
      </c>
      <c r="D981" t="str">
        <f>"2921"</f>
        <v>2921</v>
      </c>
      <c r="E981" t="s">
        <v>859</v>
      </c>
    </row>
    <row r="982" spans="1:5" x14ac:dyDescent="0.25">
      <c r="A982" t="str">
        <f t="shared" ref="A982:A996" si="46">"31004"</f>
        <v>31004</v>
      </c>
      <c r="B982" t="s">
        <v>1903</v>
      </c>
      <c r="C982" t="s">
        <v>1904</v>
      </c>
      <c r="D982" t="str">
        <f>"5099"</f>
        <v>5099</v>
      </c>
      <c r="E982" t="s">
        <v>824</v>
      </c>
    </row>
    <row r="983" spans="1:5" x14ac:dyDescent="0.25">
      <c r="A983" t="str">
        <f t="shared" si="46"/>
        <v>31004</v>
      </c>
      <c r="B983" t="s">
        <v>1903</v>
      </c>
      <c r="C983" t="s">
        <v>1164</v>
      </c>
      <c r="D983" t="str">
        <f>"5441"</f>
        <v>5441</v>
      </c>
      <c r="E983" t="s">
        <v>826</v>
      </c>
    </row>
    <row r="984" spans="1:5" x14ac:dyDescent="0.25">
      <c r="A984" t="str">
        <f t="shared" si="46"/>
        <v>31004</v>
      </c>
      <c r="B984" t="s">
        <v>1903</v>
      </c>
      <c r="C984" t="s">
        <v>1634</v>
      </c>
      <c r="D984" t="str">
        <f>"4391"</f>
        <v>4391</v>
      </c>
      <c r="E984" t="s">
        <v>818</v>
      </c>
    </row>
    <row r="985" spans="1:5" x14ac:dyDescent="0.25">
      <c r="A985" t="str">
        <f t="shared" si="46"/>
        <v>31004</v>
      </c>
      <c r="B985" t="s">
        <v>1903</v>
      </c>
      <c r="C985" t="s">
        <v>1212</v>
      </c>
      <c r="D985" t="str">
        <f>"4534"</f>
        <v>4534</v>
      </c>
      <c r="E985" t="s">
        <v>818</v>
      </c>
    </row>
    <row r="986" spans="1:5" x14ac:dyDescent="0.25">
      <c r="A986" t="str">
        <f t="shared" si="46"/>
        <v>31004</v>
      </c>
      <c r="B986" t="s">
        <v>1903</v>
      </c>
      <c r="C986" t="s">
        <v>1905</v>
      </c>
      <c r="D986" t="str">
        <f>"2885"</f>
        <v>2885</v>
      </c>
      <c r="E986" t="s">
        <v>818</v>
      </c>
    </row>
    <row r="987" spans="1:5" x14ac:dyDescent="0.25">
      <c r="A987" t="str">
        <f t="shared" si="46"/>
        <v>31004</v>
      </c>
      <c r="B987" t="s">
        <v>1903</v>
      </c>
      <c r="C987" t="s">
        <v>1906</v>
      </c>
      <c r="D987" t="str">
        <f>"1753"</f>
        <v>1753</v>
      </c>
      <c r="E987" t="s">
        <v>859</v>
      </c>
    </row>
    <row r="988" spans="1:5" x14ac:dyDescent="0.25">
      <c r="A988" t="str">
        <f t="shared" si="46"/>
        <v>31004</v>
      </c>
      <c r="B988" t="s">
        <v>1903</v>
      </c>
      <c r="C988" t="s">
        <v>1907</v>
      </c>
      <c r="D988" t="str">
        <f>"3408"</f>
        <v>3408</v>
      </c>
      <c r="E988" t="s">
        <v>830</v>
      </c>
    </row>
    <row r="989" spans="1:5" x14ac:dyDescent="0.25">
      <c r="A989" t="str">
        <f t="shared" si="46"/>
        <v>31004</v>
      </c>
      <c r="B989" t="s">
        <v>1903</v>
      </c>
      <c r="C989" t="s">
        <v>1908</v>
      </c>
      <c r="D989" t="str">
        <f>"2426"</f>
        <v>2426</v>
      </c>
      <c r="E989" t="s">
        <v>824</v>
      </c>
    </row>
    <row r="990" spans="1:5" x14ac:dyDescent="0.25">
      <c r="A990" t="str">
        <f t="shared" si="46"/>
        <v>31004</v>
      </c>
      <c r="B990" t="s">
        <v>1903</v>
      </c>
      <c r="C990" t="s">
        <v>1909</v>
      </c>
      <c r="D990" t="str">
        <f>"2884"</f>
        <v>2884</v>
      </c>
      <c r="E990" t="s">
        <v>818</v>
      </c>
    </row>
    <row r="991" spans="1:5" x14ac:dyDescent="0.25">
      <c r="A991" t="str">
        <f t="shared" si="46"/>
        <v>31004</v>
      </c>
      <c r="B991" t="s">
        <v>1903</v>
      </c>
      <c r="C991" t="s">
        <v>1910</v>
      </c>
      <c r="D991" t="str">
        <f>"4139"</f>
        <v>4139</v>
      </c>
      <c r="E991" t="s">
        <v>830</v>
      </c>
    </row>
    <row r="992" spans="1:5" x14ac:dyDescent="0.25">
      <c r="A992" t="str">
        <f t="shared" si="46"/>
        <v>31004</v>
      </c>
      <c r="B992" t="s">
        <v>1903</v>
      </c>
      <c r="C992" t="s">
        <v>1911</v>
      </c>
      <c r="D992" t="str">
        <f>"5442"</f>
        <v>5442</v>
      </c>
      <c r="E992" t="s">
        <v>824</v>
      </c>
    </row>
    <row r="993" spans="1:5" x14ac:dyDescent="0.25">
      <c r="A993" t="str">
        <f t="shared" si="46"/>
        <v>31004</v>
      </c>
      <c r="B993" t="s">
        <v>1903</v>
      </c>
      <c r="C993" t="s">
        <v>1912</v>
      </c>
      <c r="D993" t="str">
        <f>"4140"</f>
        <v>4140</v>
      </c>
      <c r="E993" t="s">
        <v>824</v>
      </c>
    </row>
    <row r="994" spans="1:5" x14ac:dyDescent="0.25">
      <c r="A994" t="str">
        <f t="shared" si="46"/>
        <v>31004</v>
      </c>
      <c r="B994" t="s">
        <v>1903</v>
      </c>
      <c r="C994" t="s">
        <v>1913</v>
      </c>
      <c r="D994" t="str">
        <f>"4392"</f>
        <v>4392</v>
      </c>
      <c r="E994" t="s">
        <v>818</v>
      </c>
    </row>
    <row r="995" spans="1:5" x14ac:dyDescent="0.25">
      <c r="A995" t="str">
        <f t="shared" si="46"/>
        <v>31004</v>
      </c>
      <c r="B995" t="s">
        <v>1903</v>
      </c>
      <c r="C995" t="s">
        <v>1914</v>
      </c>
      <c r="D995" t="str">
        <f>"5477"</f>
        <v>5477</v>
      </c>
      <c r="E995" t="s">
        <v>818</v>
      </c>
    </row>
    <row r="996" spans="1:5" x14ac:dyDescent="0.25">
      <c r="A996" t="str">
        <f t="shared" si="46"/>
        <v>31004</v>
      </c>
      <c r="B996" t="s">
        <v>1903</v>
      </c>
      <c r="C996" t="s">
        <v>1576</v>
      </c>
      <c r="D996" t="str">
        <f>"3753"</f>
        <v>3753</v>
      </c>
      <c r="E996" t="s">
        <v>818</v>
      </c>
    </row>
    <row r="997" spans="1:5" x14ac:dyDescent="0.25">
      <c r="A997" t="str">
        <f>"17937"</f>
        <v>17937</v>
      </c>
      <c r="B997" t="s">
        <v>1915</v>
      </c>
      <c r="C997" t="s">
        <v>1916</v>
      </c>
      <c r="D997" t="str">
        <f>"5953"</f>
        <v>5953</v>
      </c>
      <c r="E997" t="s">
        <v>824</v>
      </c>
    </row>
    <row r="998" spans="1:5" x14ac:dyDescent="0.25">
      <c r="A998" t="str">
        <f>"17937"</f>
        <v>17937</v>
      </c>
      <c r="B998" t="s">
        <v>1915</v>
      </c>
      <c r="C998" t="s">
        <v>1917</v>
      </c>
      <c r="D998" t="str">
        <f>"5306"</f>
        <v>5306</v>
      </c>
      <c r="E998" t="s">
        <v>824</v>
      </c>
    </row>
    <row r="999" spans="1:5" x14ac:dyDescent="0.25">
      <c r="A999" t="str">
        <f t="shared" ref="A999:A1030" si="47">"17414"</f>
        <v>17414</v>
      </c>
      <c r="B999" t="s">
        <v>1918</v>
      </c>
      <c r="C999" t="s">
        <v>1919</v>
      </c>
      <c r="D999" t="str">
        <f>"4256"</f>
        <v>4256</v>
      </c>
      <c r="E999" t="s">
        <v>818</v>
      </c>
    </row>
    <row r="1000" spans="1:5" x14ac:dyDescent="0.25">
      <c r="A1000" t="str">
        <f t="shared" si="47"/>
        <v>17414</v>
      </c>
      <c r="B1000" t="s">
        <v>1918</v>
      </c>
      <c r="C1000" t="s">
        <v>1920</v>
      </c>
      <c r="D1000" t="str">
        <f>"3548"</f>
        <v>3548</v>
      </c>
      <c r="E1000" t="s">
        <v>818</v>
      </c>
    </row>
    <row r="1001" spans="1:5" x14ac:dyDescent="0.25">
      <c r="A1001" t="str">
        <f t="shared" si="47"/>
        <v>17414</v>
      </c>
      <c r="B1001" t="s">
        <v>1918</v>
      </c>
      <c r="C1001" t="s">
        <v>1921</v>
      </c>
      <c r="D1001" t="str">
        <f>"3592"</f>
        <v>3592</v>
      </c>
      <c r="E1001" t="s">
        <v>818</v>
      </c>
    </row>
    <row r="1002" spans="1:5" x14ac:dyDescent="0.25">
      <c r="A1002" t="str">
        <f t="shared" si="47"/>
        <v>17414</v>
      </c>
      <c r="B1002" t="s">
        <v>1918</v>
      </c>
      <c r="C1002" t="s">
        <v>1922</v>
      </c>
      <c r="D1002" t="str">
        <f>"4532"</f>
        <v>4532</v>
      </c>
      <c r="E1002" t="s">
        <v>818</v>
      </c>
    </row>
    <row r="1003" spans="1:5" x14ac:dyDescent="0.25">
      <c r="A1003" t="str">
        <f t="shared" si="47"/>
        <v>17414</v>
      </c>
      <c r="B1003" t="s">
        <v>1918</v>
      </c>
      <c r="C1003" t="s">
        <v>1923</v>
      </c>
      <c r="D1003" t="str">
        <f>"5139"</f>
        <v>5139</v>
      </c>
      <c r="E1003" t="s">
        <v>818</v>
      </c>
    </row>
    <row r="1004" spans="1:5" x14ac:dyDescent="0.25">
      <c r="A1004" t="str">
        <f t="shared" si="47"/>
        <v>17414</v>
      </c>
      <c r="B1004" t="s">
        <v>1918</v>
      </c>
      <c r="C1004" t="s">
        <v>1924</v>
      </c>
      <c r="D1004" t="str">
        <f>"5511"</f>
        <v>5511</v>
      </c>
      <c r="E1004" t="s">
        <v>818</v>
      </c>
    </row>
    <row r="1005" spans="1:5" x14ac:dyDescent="0.25">
      <c r="A1005" t="str">
        <f t="shared" si="47"/>
        <v>17414</v>
      </c>
      <c r="B1005" t="s">
        <v>1918</v>
      </c>
      <c r="C1005" t="s">
        <v>1925</v>
      </c>
      <c r="D1005" t="str">
        <f>"3856"</f>
        <v>3856</v>
      </c>
      <c r="E1005" t="s">
        <v>818</v>
      </c>
    </row>
    <row r="1006" spans="1:5" x14ac:dyDescent="0.25">
      <c r="A1006" t="str">
        <f t="shared" si="47"/>
        <v>17414</v>
      </c>
      <c r="B1006" t="s">
        <v>1918</v>
      </c>
      <c r="C1006" t="s">
        <v>1926</v>
      </c>
      <c r="D1006" t="str">
        <f>"1649"</f>
        <v>1649</v>
      </c>
      <c r="E1006" t="s">
        <v>851</v>
      </c>
    </row>
    <row r="1007" spans="1:5" x14ac:dyDescent="0.25">
      <c r="A1007" t="str">
        <f t="shared" si="47"/>
        <v>17414</v>
      </c>
      <c r="B1007" t="s">
        <v>1918</v>
      </c>
      <c r="C1007" t="s">
        <v>1927</v>
      </c>
      <c r="D1007" t="str">
        <f>"4018"</f>
        <v>4018</v>
      </c>
      <c r="E1007" t="s">
        <v>818</v>
      </c>
    </row>
    <row r="1008" spans="1:5" x14ac:dyDescent="0.25">
      <c r="A1008" t="str">
        <f t="shared" si="47"/>
        <v>17414</v>
      </c>
      <c r="B1008" t="s">
        <v>1918</v>
      </c>
      <c r="C1008" t="s">
        <v>1928</v>
      </c>
      <c r="D1008" t="str">
        <f>"1658"</f>
        <v>1658</v>
      </c>
      <c r="E1008" t="s">
        <v>818</v>
      </c>
    </row>
    <row r="1009" spans="1:5" x14ac:dyDescent="0.25">
      <c r="A1009" t="str">
        <f t="shared" si="47"/>
        <v>17414</v>
      </c>
      <c r="B1009" t="s">
        <v>1918</v>
      </c>
      <c r="C1009" t="s">
        <v>1929</v>
      </c>
      <c r="D1009" t="str">
        <f>"4439"</f>
        <v>4439</v>
      </c>
      <c r="E1009" t="s">
        <v>824</v>
      </c>
    </row>
    <row r="1010" spans="1:5" x14ac:dyDescent="0.25">
      <c r="A1010" t="str">
        <f t="shared" si="47"/>
        <v>17414</v>
      </c>
      <c r="B1010" t="s">
        <v>1918</v>
      </c>
      <c r="C1010" t="s">
        <v>1930</v>
      </c>
      <c r="D1010" t="str">
        <f>"4424"</f>
        <v>4424</v>
      </c>
      <c r="E1010" t="s">
        <v>818</v>
      </c>
    </row>
    <row r="1011" spans="1:5" x14ac:dyDescent="0.25">
      <c r="A1011" t="str">
        <f t="shared" si="47"/>
        <v>17414</v>
      </c>
      <c r="B1011" t="s">
        <v>1918</v>
      </c>
      <c r="C1011" t="s">
        <v>1931</v>
      </c>
      <c r="D1011" t="str">
        <f>"5512"</f>
        <v>5512</v>
      </c>
      <c r="E1011" t="s">
        <v>818</v>
      </c>
    </row>
    <row r="1012" spans="1:5" x14ac:dyDescent="0.25">
      <c r="A1012" t="str">
        <f t="shared" si="47"/>
        <v>17414</v>
      </c>
      <c r="B1012" t="s">
        <v>1918</v>
      </c>
      <c r="C1012" t="s">
        <v>1932</v>
      </c>
      <c r="D1012" t="str">
        <f>"3855"</f>
        <v>3855</v>
      </c>
      <c r="E1012" t="s">
        <v>824</v>
      </c>
    </row>
    <row r="1013" spans="1:5" x14ac:dyDescent="0.25">
      <c r="A1013" t="str">
        <f t="shared" si="47"/>
        <v>17414</v>
      </c>
      <c r="B1013" t="s">
        <v>1918</v>
      </c>
      <c r="C1013" t="s">
        <v>1933</v>
      </c>
      <c r="D1013" t="str">
        <f>"1688"</f>
        <v>1688</v>
      </c>
      <c r="E1013" t="s">
        <v>859</v>
      </c>
    </row>
    <row r="1014" spans="1:5" x14ac:dyDescent="0.25">
      <c r="A1014" t="str">
        <f t="shared" si="47"/>
        <v>17414</v>
      </c>
      <c r="B1014" t="s">
        <v>1918</v>
      </c>
      <c r="C1014" t="s">
        <v>1934</v>
      </c>
      <c r="D1014" t="str">
        <f>"1800"</f>
        <v>1800</v>
      </c>
      <c r="E1014" t="s">
        <v>830</v>
      </c>
    </row>
    <row r="1015" spans="1:5" x14ac:dyDescent="0.25">
      <c r="A1015" t="str">
        <f t="shared" si="47"/>
        <v>17414</v>
      </c>
      <c r="B1015" t="s">
        <v>1918</v>
      </c>
      <c r="C1015" t="s">
        <v>1136</v>
      </c>
      <c r="D1015" t="str">
        <f>"4148"</f>
        <v>4148</v>
      </c>
      <c r="E1015" t="s">
        <v>830</v>
      </c>
    </row>
    <row r="1016" spans="1:5" x14ac:dyDescent="0.25">
      <c r="A1016" t="str">
        <f t="shared" si="47"/>
        <v>17414</v>
      </c>
      <c r="B1016" t="s">
        <v>1918</v>
      </c>
      <c r="C1016" t="s">
        <v>1935</v>
      </c>
      <c r="D1016" t="str">
        <f>"1687"</f>
        <v>1687</v>
      </c>
      <c r="E1016" t="s">
        <v>818</v>
      </c>
    </row>
    <row r="1017" spans="1:5" x14ac:dyDescent="0.25">
      <c r="A1017" t="str">
        <f t="shared" si="47"/>
        <v>17414</v>
      </c>
      <c r="B1017" t="s">
        <v>1918</v>
      </c>
      <c r="C1017" t="s">
        <v>1936</v>
      </c>
      <c r="D1017" t="str">
        <f>"3590"</f>
        <v>3590</v>
      </c>
      <c r="E1017" t="s">
        <v>830</v>
      </c>
    </row>
    <row r="1018" spans="1:5" x14ac:dyDescent="0.25">
      <c r="A1018" t="str">
        <f t="shared" si="47"/>
        <v>17414</v>
      </c>
      <c r="B1018" t="s">
        <v>1918</v>
      </c>
      <c r="C1018" t="s">
        <v>1937</v>
      </c>
      <c r="D1018" t="str">
        <f>"3591"</f>
        <v>3591</v>
      </c>
      <c r="E1018" t="s">
        <v>818</v>
      </c>
    </row>
    <row r="1019" spans="1:5" x14ac:dyDescent="0.25">
      <c r="A1019" t="str">
        <f t="shared" si="47"/>
        <v>17414</v>
      </c>
      <c r="B1019" t="s">
        <v>1918</v>
      </c>
      <c r="C1019" t="s">
        <v>1938</v>
      </c>
      <c r="D1019" t="str">
        <f>"3675"</f>
        <v>3675</v>
      </c>
      <c r="E1019" t="s">
        <v>818</v>
      </c>
    </row>
    <row r="1020" spans="1:5" x14ac:dyDescent="0.25">
      <c r="A1020" t="str">
        <f t="shared" si="47"/>
        <v>17414</v>
      </c>
      <c r="B1020" t="s">
        <v>1918</v>
      </c>
      <c r="C1020" t="s">
        <v>1939</v>
      </c>
      <c r="D1020" t="str">
        <f>"1804"</f>
        <v>1804</v>
      </c>
      <c r="E1020" t="s">
        <v>824</v>
      </c>
    </row>
    <row r="1021" spans="1:5" x14ac:dyDescent="0.25">
      <c r="A1021" t="str">
        <f t="shared" si="47"/>
        <v>17414</v>
      </c>
      <c r="B1021" t="s">
        <v>1918</v>
      </c>
      <c r="C1021" t="s">
        <v>1940</v>
      </c>
      <c r="D1021" t="str">
        <f>"4386"</f>
        <v>4386</v>
      </c>
      <c r="E1021" t="s">
        <v>830</v>
      </c>
    </row>
    <row r="1022" spans="1:5" x14ac:dyDescent="0.25">
      <c r="A1022" t="str">
        <f t="shared" si="47"/>
        <v>17414</v>
      </c>
      <c r="B1022" t="s">
        <v>1918</v>
      </c>
      <c r="C1022" t="s">
        <v>1941</v>
      </c>
      <c r="D1022" t="str">
        <f>"1706"</f>
        <v>1706</v>
      </c>
      <c r="E1022" t="s">
        <v>821</v>
      </c>
    </row>
    <row r="1023" spans="1:5" x14ac:dyDescent="0.25">
      <c r="A1023" t="str">
        <f t="shared" si="47"/>
        <v>17414</v>
      </c>
      <c r="B1023" t="s">
        <v>1918</v>
      </c>
      <c r="C1023" t="s">
        <v>1942</v>
      </c>
      <c r="D1023" t="str">
        <f>"2796"</f>
        <v>2796</v>
      </c>
      <c r="E1023" t="s">
        <v>818</v>
      </c>
    </row>
    <row r="1024" spans="1:5" x14ac:dyDescent="0.25">
      <c r="A1024" t="str">
        <f t="shared" si="47"/>
        <v>17414</v>
      </c>
      <c r="B1024" t="s">
        <v>1918</v>
      </c>
      <c r="C1024" t="s">
        <v>1943</v>
      </c>
      <c r="D1024" t="str">
        <f>"3771"</f>
        <v>3771</v>
      </c>
      <c r="E1024" t="s">
        <v>824</v>
      </c>
    </row>
    <row r="1025" spans="1:5" x14ac:dyDescent="0.25">
      <c r="A1025" t="str">
        <f t="shared" si="47"/>
        <v>17414</v>
      </c>
      <c r="B1025" t="s">
        <v>1918</v>
      </c>
      <c r="C1025" t="s">
        <v>1944</v>
      </c>
      <c r="D1025" t="str">
        <f>"3922"</f>
        <v>3922</v>
      </c>
      <c r="E1025" t="s">
        <v>830</v>
      </c>
    </row>
    <row r="1026" spans="1:5" x14ac:dyDescent="0.25">
      <c r="A1026" t="str">
        <f t="shared" si="47"/>
        <v>17414</v>
      </c>
      <c r="B1026" t="s">
        <v>1918</v>
      </c>
      <c r="C1026" t="s">
        <v>1945</v>
      </c>
      <c r="D1026" t="str">
        <f>"3704"</f>
        <v>3704</v>
      </c>
      <c r="E1026" t="s">
        <v>818</v>
      </c>
    </row>
    <row r="1027" spans="1:5" x14ac:dyDescent="0.25">
      <c r="A1027" t="str">
        <f t="shared" si="47"/>
        <v>17414</v>
      </c>
      <c r="B1027" t="s">
        <v>1918</v>
      </c>
      <c r="C1027" t="s">
        <v>1946</v>
      </c>
      <c r="D1027" t="str">
        <f>"3941"</f>
        <v>3941</v>
      </c>
      <c r="E1027" t="s">
        <v>818</v>
      </c>
    </row>
    <row r="1028" spans="1:5" x14ac:dyDescent="0.25">
      <c r="A1028" t="str">
        <f t="shared" si="47"/>
        <v>17414</v>
      </c>
      <c r="B1028" t="s">
        <v>1918</v>
      </c>
      <c r="C1028" t="s">
        <v>1947</v>
      </c>
      <c r="D1028" t="str">
        <f>"2308"</f>
        <v>2308</v>
      </c>
      <c r="E1028" t="s">
        <v>830</v>
      </c>
    </row>
    <row r="1029" spans="1:5" x14ac:dyDescent="0.25">
      <c r="A1029" t="str">
        <f t="shared" si="47"/>
        <v>17414</v>
      </c>
      <c r="B1029" t="s">
        <v>1918</v>
      </c>
      <c r="C1029" t="s">
        <v>1948</v>
      </c>
      <c r="D1029" t="str">
        <f>"2739"</f>
        <v>2739</v>
      </c>
      <c r="E1029" t="s">
        <v>824</v>
      </c>
    </row>
    <row r="1030" spans="1:5" x14ac:dyDescent="0.25">
      <c r="A1030" t="str">
        <f t="shared" si="47"/>
        <v>17414</v>
      </c>
      <c r="B1030" t="s">
        <v>1918</v>
      </c>
      <c r="C1030" t="s">
        <v>1949</v>
      </c>
      <c r="D1030" t="str">
        <f>"3041"</f>
        <v>3041</v>
      </c>
      <c r="E1030" t="s">
        <v>818</v>
      </c>
    </row>
    <row r="1031" spans="1:5" x14ac:dyDescent="0.25">
      <c r="A1031" t="str">
        <f t="shared" ref="A1031:A1053" si="48">"17414"</f>
        <v>17414</v>
      </c>
      <c r="B1031" t="s">
        <v>1918</v>
      </c>
      <c r="C1031" t="s">
        <v>1950</v>
      </c>
      <c r="D1031" t="str">
        <f>"3529"</f>
        <v>3529</v>
      </c>
      <c r="E1031" t="s">
        <v>818</v>
      </c>
    </row>
    <row r="1032" spans="1:5" x14ac:dyDescent="0.25">
      <c r="A1032" t="str">
        <f t="shared" si="48"/>
        <v>17414</v>
      </c>
      <c r="B1032" t="s">
        <v>1918</v>
      </c>
      <c r="C1032" t="s">
        <v>1951</v>
      </c>
      <c r="D1032" t="str">
        <f>"4354"</f>
        <v>4354</v>
      </c>
      <c r="E1032" t="s">
        <v>818</v>
      </c>
    </row>
    <row r="1033" spans="1:5" x14ac:dyDescent="0.25">
      <c r="A1033" t="str">
        <f t="shared" si="48"/>
        <v>17414</v>
      </c>
      <c r="B1033" t="s">
        <v>1918</v>
      </c>
      <c r="C1033" t="s">
        <v>1952</v>
      </c>
      <c r="D1033" t="str">
        <f>"4096"</f>
        <v>4096</v>
      </c>
      <c r="E1033" t="s">
        <v>818</v>
      </c>
    </row>
    <row r="1034" spans="1:5" x14ac:dyDescent="0.25">
      <c r="A1034" t="str">
        <f t="shared" si="48"/>
        <v>17414</v>
      </c>
      <c r="B1034" t="s">
        <v>1918</v>
      </c>
      <c r="C1034" t="s">
        <v>1953</v>
      </c>
      <c r="D1034" t="str">
        <f>"3748"</f>
        <v>3748</v>
      </c>
      <c r="E1034" t="s">
        <v>818</v>
      </c>
    </row>
    <row r="1035" spans="1:5" x14ac:dyDescent="0.25">
      <c r="A1035" t="str">
        <f t="shared" si="48"/>
        <v>17414</v>
      </c>
      <c r="B1035" t="s">
        <v>1918</v>
      </c>
      <c r="C1035" t="s">
        <v>1954</v>
      </c>
      <c r="D1035" t="str">
        <f>"4167"</f>
        <v>4167</v>
      </c>
      <c r="E1035" t="s">
        <v>830</v>
      </c>
    </row>
    <row r="1036" spans="1:5" x14ac:dyDescent="0.25">
      <c r="A1036" t="str">
        <f t="shared" si="48"/>
        <v>17414</v>
      </c>
      <c r="B1036" t="s">
        <v>1918</v>
      </c>
      <c r="C1036" t="s">
        <v>1955</v>
      </c>
      <c r="D1036" t="str">
        <f>"3549"</f>
        <v>3549</v>
      </c>
      <c r="E1036" t="s">
        <v>826</v>
      </c>
    </row>
    <row r="1037" spans="1:5" x14ac:dyDescent="0.25">
      <c r="A1037" t="str">
        <f t="shared" si="48"/>
        <v>17414</v>
      </c>
      <c r="B1037" t="s">
        <v>1918</v>
      </c>
      <c r="C1037" t="s">
        <v>1956</v>
      </c>
      <c r="D1037" t="str">
        <f>"2289"</f>
        <v>2289</v>
      </c>
      <c r="E1037" t="s">
        <v>818</v>
      </c>
    </row>
    <row r="1038" spans="1:5" x14ac:dyDescent="0.25">
      <c r="A1038" t="str">
        <f t="shared" si="48"/>
        <v>17414</v>
      </c>
      <c r="B1038" t="s">
        <v>1918</v>
      </c>
      <c r="C1038" t="s">
        <v>1957</v>
      </c>
      <c r="D1038" t="str">
        <f>"3528"</f>
        <v>3528</v>
      </c>
      <c r="E1038" t="s">
        <v>824</v>
      </c>
    </row>
    <row r="1039" spans="1:5" x14ac:dyDescent="0.25">
      <c r="A1039" t="str">
        <f t="shared" si="48"/>
        <v>17414</v>
      </c>
      <c r="B1039" t="s">
        <v>1918</v>
      </c>
      <c r="C1039" t="s">
        <v>1958</v>
      </c>
      <c r="D1039" t="str">
        <f>"3232"</f>
        <v>3232</v>
      </c>
      <c r="E1039" t="s">
        <v>830</v>
      </c>
    </row>
    <row r="1040" spans="1:5" x14ac:dyDescent="0.25">
      <c r="A1040" t="str">
        <f t="shared" si="48"/>
        <v>17414</v>
      </c>
      <c r="B1040" t="s">
        <v>1918</v>
      </c>
      <c r="C1040" t="s">
        <v>1959</v>
      </c>
      <c r="D1040" t="str">
        <f>"5057"</f>
        <v>5057</v>
      </c>
      <c r="E1040" t="s">
        <v>830</v>
      </c>
    </row>
    <row r="1041" spans="1:5" x14ac:dyDescent="0.25">
      <c r="A1041" t="str">
        <f t="shared" si="48"/>
        <v>17414</v>
      </c>
      <c r="B1041" t="s">
        <v>1918</v>
      </c>
      <c r="C1041" t="s">
        <v>1960</v>
      </c>
      <c r="D1041" t="str">
        <f>"4147"</f>
        <v>4147</v>
      </c>
      <c r="E1041" t="s">
        <v>818</v>
      </c>
    </row>
    <row r="1042" spans="1:5" x14ac:dyDescent="0.25">
      <c r="A1042" t="str">
        <f t="shared" si="48"/>
        <v>17414</v>
      </c>
      <c r="B1042" t="s">
        <v>1918</v>
      </c>
      <c r="C1042" t="s">
        <v>1961</v>
      </c>
      <c r="D1042" t="str">
        <f>"5053"</f>
        <v>5053</v>
      </c>
      <c r="E1042" t="s">
        <v>818</v>
      </c>
    </row>
    <row r="1043" spans="1:5" x14ac:dyDescent="0.25">
      <c r="A1043" t="str">
        <f t="shared" si="48"/>
        <v>17414</v>
      </c>
      <c r="B1043" t="s">
        <v>1918</v>
      </c>
      <c r="C1043" t="s">
        <v>1962</v>
      </c>
      <c r="D1043" t="str">
        <f>"2992"</f>
        <v>2992</v>
      </c>
      <c r="E1043" t="s">
        <v>818</v>
      </c>
    </row>
    <row r="1044" spans="1:5" x14ac:dyDescent="0.25">
      <c r="A1044" t="str">
        <f t="shared" si="48"/>
        <v>17414</v>
      </c>
      <c r="B1044" t="s">
        <v>1918</v>
      </c>
      <c r="C1044" t="s">
        <v>1963</v>
      </c>
      <c r="D1044" t="str">
        <f>"3706"</f>
        <v>3706</v>
      </c>
      <c r="E1044" t="s">
        <v>830</v>
      </c>
    </row>
    <row r="1045" spans="1:5" x14ac:dyDescent="0.25">
      <c r="A1045" t="str">
        <f t="shared" si="48"/>
        <v>17414</v>
      </c>
      <c r="B1045" t="s">
        <v>1918</v>
      </c>
      <c r="C1045" t="s">
        <v>1964</v>
      </c>
      <c r="D1045" t="str">
        <f>"3703"</f>
        <v>3703</v>
      </c>
      <c r="E1045" t="s">
        <v>818</v>
      </c>
    </row>
    <row r="1046" spans="1:5" x14ac:dyDescent="0.25">
      <c r="A1046" t="str">
        <f t="shared" si="48"/>
        <v>17414</v>
      </c>
      <c r="B1046" t="s">
        <v>1918</v>
      </c>
      <c r="C1046" t="s">
        <v>1965</v>
      </c>
      <c r="D1046" t="str">
        <f>"3747"</f>
        <v>3747</v>
      </c>
      <c r="E1046" t="s">
        <v>818</v>
      </c>
    </row>
    <row r="1047" spans="1:5" x14ac:dyDescent="0.25">
      <c r="A1047" t="str">
        <f t="shared" si="48"/>
        <v>17414</v>
      </c>
      <c r="B1047" t="s">
        <v>1918</v>
      </c>
      <c r="C1047" t="s">
        <v>1966</v>
      </c>
      <c r="D1047" t="str">
        <f>"4302"</f>
        <v>4302</v>
      </c>
      <c r="E1047" t="s">
        <v>818</v>
      </c>
    </row>
    <row r="1048" spans="1:5" x14ac:dyDescent="0.25">
      <c r="A1048" t="str">
        <f t="shared" si="48"/>
        <v>17414</v>
      </c>
      <c r="B1048" t="s">
        <v>1918</v>
      </c>
      <c r="C1048" t="s">
        <v>1967</v>
      </c>
      <c r="D1048" t="str">
        <f>"1975"</f>
        <v>1975</v>
      </c>
      <c r="E1048" t="s">
        <v>830</v>
      </c>
    </row>
    <row r="1049" spans="1:5" x14ac:dyDescent="0.25">
      <c r="A1049" t="str">
        <f t="shared" si="48"/>
        <v>17414</v>
      </c>
      <c r="B1049" t="s">
        <v>1918</v>
      </c>
      <c r="C1049" t="s">
        <v>1968</v>
      </c>
      <c r="D1049" t="str">
        <f>"5265"</f>
        <v>5265</v>
      </c>
      <c r="E1049" t="s">
        <v>824</v>
      </c>
    </row>
    <row r="1050" spans="1:5" x14ac:dyDescent="0.25">
      <c r="A1050" t="str">
        <f t="shared" si="48"/>
        <v>17414</v>
      </c>
      <c r="B1050" t="s">
        <v>1918</v>
      </c>
      <c r="C1050" t="s">
        <v>1969</v>
      </c>
      <c r="D1050" t="str">
        <f>"3490"</f>
        <v>3490</v>
      </c>
      <c r="E1050" t="s">
        <v>818</v>
      </c>
    </row>
    <row r="1051" spans="1:5" x14ac:dyDescent="0.25">
      <c r="A1051" t="str">
        <f t="shared" si="48"/>
        <v>17414</v>
      </c>
      <c r="B1051" t="s">
        <v>1918</v>
      </c>
      <c r="C1051" t="s">
        <v>1970</v>
      </c>
      <c r="D1051" t="str">
        <f>"3441"</f>
        <v>3441</v>
      </c>
      <c r="E1051" t="s">
        <v>818</v>
      </c>
    </row>
    <row r="1052" spans="1:5" x14ac:dyDescent="0.25">
      <c r="A1052" t="str">
        <f t="shared" si="48"/>
        <v>17414</v>
      </c>
      <c r="B1052" t="s">
        <v>1918</v>
      </c>
      <c r="C1052" t="s">
        <v>1971</v>
      </c>
      <c r="D1052" t="str">
        <f>"5958"</f>
        <v>5958</v>
      </c>
      <c r="E1052" t="s">
        <v>824</v>
      </c>
    </row>
    <row r="1053" spans="1:5" x14ac:dyDescent="0.25">
      <c r="A1053" t="str">
        <f t="shared" si="48"/>
        <v>17414</v>
      </c>
      <c r="B1053" t="s">
        <v>1918</v>
      </c>
      <c r="C1053" t="s">
        <v>1972</v>
      </c>
      <c r="D1053" t="str">
        <f>"4336"</f>
        <v>4336</v>
      </c>
      <c r="E1053" t="s">
        <v>818</v>
      </c>
    </row>
    <row r="1054" spans="1:5" x14ac:dyDescent="0.25">
      <c r="A1054" t="str">
        <f t="shared" ref="A1054:A1059" si="49">"31306"</f>
        <v>31306</v>
      </c>
      <c r="B1054" t="s">
        <v>1973</v>
      </c>
      <c r="C1054" t="s">
        <v>1974</v>
      </c>
      <c r="D1054" t="str">
        <f>"4576"</f>
        <v>4576</v>
      </c>
      <c r="E1054" t="s">
        <v>818</v>
      </c>
    </row>
    <row r="1055" spans="1:5" x14ac:dyDescent="0.25">
      <c r="A1055" t="str">
        <f t="shared" si="49"/>
        <v>31306</v>
      </c>
      <c r="B1055" t="s">
        <v>1973</v>
      </c>
      <c r="C1055" t="s">
        <v>1975</v>
      </c>
      <c r="D1055" t="str">
        <f>"4477"</f>
        <v>4477</v>
      </c>
      <c r="E1055" t="s">
        <v>818</v>
      </c>
    </row>
    <row r="1056" spans="1:5" x14ac:dyDescent="0.25">
      <c r="A1056" t="str">
        <f t="shared" si="49"/>
        <v>31306</v>
      </c>
      <c r="B1056" t="s">
        <v>1973</v>
      </c>
      <c r="C1056" t="s">
        <v>1976</v>
      </c>
      <c r="D1056" t="str">
        <f>"3255"</f>
        <v>3255</v>
      </c>
      <c r="E1056" t="s">
        <v>818</v>
      </c>
    </row>
    <row r="1057" spans="1:5" x14ac:dyDescent="0.25">
      <c r="A1057" t="str">
        <f t="shared" si="49"/>
        <v>31306</v>
      </c>
      <c r="B1057" t="s">
        <v>1973</v>
      </c>
      <c r="C1057" t="s">
        <v>1977</v>
      </c>
      <c r="D1057" t="str">
        <f>"4204"</f>
        <v>4204</v>
      </c>
      <c r="E1057" t="s">
        <v>824</v>
      </c>
    </row>
    <row r="1058" spans="1:5" x14ac:dyDescent="0.25">
      <c r="A1058" t="str">
        <f t="shared" si="49"/>
        <v>31306</v>
      </c>
      <c r="B1058" t="s">
        <v>1973</v>
      </c>
      <c r="C1058" t="s">
        <v>1978</v>
      </c>
      <c r="D1058" t="str">
        <f>"3893"</f>
        <v>3893</v>
      </c>
      <c r="E1058" t="s">
        <v>830</v>
      </c>
    </row>
    <row r="1059" spans="1:5" x14ac:dyDescent="0.25">
      <c r="A1059" t="str">
        <f t="shared" si="49"/>
        <v>31306</v>
      </c>
      <c r="B1059" t="s">
        <v>1973</v>
      </c>
      <c r="C1059" t="s">
        <v>1979</v>
      </c>
      <c r="D1059" t="str">
        <f>"5404"</f>
        <v>5404</v>
      </c>
      <c r="E1059" t="s">
        <v>824</v>
      </c>
    </row>
    <row r="1060" spans="1:5" x14ac:dyDescent="0.25">
      <c r="A1060" t="str">
        <f>"38264"</f>
        <v>38264</v>
      </c>
      <c r="B1060" t="s">
        <v>1980</v>
      </c>
      <c r="C1060" t="s">
        <v>1981</v>
      </c>
      <c r="D1060" t="str">
        <f>"3137"</f>
        <v>3137</v>
      </c>
      <c r="E1060" t="s">
        <v>830</v>
      </c>
    </row>
    <row r="1061" spans="1:5" x14ac:dyDescent="0.25">
      <c r="A1061" t="str">
        <f>"32362"</f>
        <v>32362</v>
      </c>
      <c r="B1061" t="s">
        <v>1982</v>
      </c>
      <c r="C1061" t="s">
        <v>1983</v>
      </c>
      <c r="D1061" t="str">
        <f>"3416"</f>
        <v>3416</v>
      </c>
      <c r="E1061" t="s">
        <v>824</v>
      </c>
    </row>
    <row r="1062" spans="1:5" x14ac:dyDescent="0.25">
      <c r="A1062" t="str">
        <f>"32362"</f>
        <v>32362</v>
      </c>
      <c r="B1062" t="s">
        <v>1982</v>
      </c>
      <c r="C1062" t="s">
        <v>1984</v>
      </c>
      <c r="D1062" t="str">
        <f>"4226"</f>
        <v>4226</v>
      </c>
      <c r="E1062" t="s">
        <v>821</v>
      </c>
    </row>
    <row r="1063" spans="1:5" x14ac:dyDescent="0.25">
      <c r="A1063" t="str">
        <f>"01158"</f>
        <v>01158</v>
      </c>
      <c r="B1063" t="s">
        <v>1985</v>
      </c>
      <c r="C1063" t="s">
        <v>1986</v>
      </c>
      <c r="D1063" t="str">
        <f>"3421"</f>
        <v>3421</v>
      </c>
      <c r="E1063" t="s">
        <v>818</v>
      </c>
    </row>
    <row r="1064" spans="1:5" x14ac:dyDescent="0.25">
      <c r="A1064" t="str">
        <f>"01158"</f>
        <v>01158</v>
      </c>
      <c r="B1064" t="s">
        <v>1985</v>
      </c>
      <c r="C1064" t="s">
        <v>1987</v>
      </c>
      <c r="D1064" t="str">
        <f>"2903"</f>
        <v>2903</v>
      </c>
      <c r="E1064" t="s">
        <v>821</v>
      </c>
    </row>
    <row r="1065" spans="1:5" x14ac:dyDescent="0.25">
      <c r="A1065" t="str">
        <f>"01158"</f>
        <v>01158</v>
      </c>
      <c r="B1065" t="s">
        <v>1985</v>
      </c>
      <c r="C1065" t="s">
        <v>1988</v>
      </c>
      <c r="D1065" t="str">
        <f>"5293"</f>
        <v>5293</v>
      </c>
      <c r="E1065" t="s">
        <v>830</v>
      </c>
    </row>
    <row r="1066" spans="1:5" x14ac:dyDescent="0.25">
      <c r="A1066" t="str">
        <f t="shared" ref="A1066:A1082" si="50">"08122"</f>
        <v>08122</v>
      </c>
      <c r="B1066" t="s">
        <v>1989</v>
      </c>
      <c r="C1066" t="s">
        <v>1990</v>
      </c>
      <c r="D1066" t="str">
        <f>"2665"</f>
        <v>2665</v>
      </c>
      <c r="E1066" t="s">
        <v>826</v>
      </c>
    </row>
    <row r="1067" spans="1:5" x14ac:dyDescent="0.25">
      <c r="A1067" t="str">
        <f t="shared" si="50"/>
        <v>08122</v>
      </c>
      <c r="B1067" t="s">
        <v>1989</v>
      </c>
      <c r="C1067" t="s">
        <v>871</v>
      </c>
      <c r="D1067" t="str">
        <f>"3475"</f>
        <v>3475</v>
      </c>
      <c r="E1067" t="s">
        <v>830</v>
      </c>
    </row>
    <row r="1068" spans="1:5" x14ac:dyDescent="0.25">
      <c r="A1068" t="str">
        <f t="shared" si="50"/>
        <v>08122</v>
      </c>
      <c r="B1068" t="s">
        <v>1989</v>
      </c>
      <c r="C1068" t="s">
        <v>1991</v>
      </c>
      <c r="D1068" t="str">
        <f>"3211"</f>
        <v>3211</v>
      </c>
      <c r="E1068" t="s">
        <v>818</v>
      </c>
    </row>
    <row r="1069" spans="1:5" x14ac:dyDescent="0.25">
      <c r="A1069" t="str">
        <f t="shared" si="50"/>
        <v>08122</v>
      </c>
      <c r="B1069" t="s">
        <v>1989</v>
      </c>
      <c r="C1069" t="s">
        <v>1992</v>
      </c>
      <c r="D1069" t="str">
        <f>"2369"</f>
        <v>2369</v>
      </c>
      <c r="E1069" t="s">
        <v>818</v>
      </c>
    </row>
    <row r="1070" spans="1:5" x14ac:dyDescent="0.25">
      <c r="A1070" t="str">
        <f t="shared" si="50"/>
        <v>08122</v>
      </c>
      <c r="B1070" t="s">
        <v>1989</v>
      </c>
      <c r="C1070" t="s">
        <v>1071</v>
      </c>
      <c r="D1070" t="str">
        <f>"5312"</f>
        <v>5312</v>
      </c>
      <c r="E1070" t="s">
        <v>824</v>
      </c>
    </row>
    <row r="1071" spans="1:5" x14ac:dyDescent="0.25">
      <c r="A1071" t="str">
        <f t="shared" si="50"/>
        <v>08122</v>
      </c>
      <c r="B1071" t="s">
        <v>1989</v>
      </c>
      <c r="C1071" t="s">
        <v>1993</v>
      </c>
      <c r="D1071" t="str">
        <f>"5400"</f>
        <v>5400</v>
      </c>
      <c r="E1071" t="s">
        <v>824</v>
      </c>
    </row>
    <row r="1072" spans="1:5" x14ac:dyDescent="0.25">
      <c r="A1072" t="str">
        <f t="shared" si="50"/>
        <v>08122</v>
      </c>
      <c r="B1072" t="s">
        <v>1989</v>
      </c>
      <c r="C1072" t="s">
        <v>1994</v>
      </c>
      <c r="D1072" t="str">
        <f>"2319"</f>
        <v>2319</v>
      </c>
      <c r="E1072" t="s">
        <v>818</v>
      </c>
    </row>
    <row r="1073" spans="1:5" x14ac:dyDescent="0.25">
      <c r="A1073" t="str">
        <f t="shared" si="50"/>
        <v>08122</v>
      </c>
      <c r="B1073" t="s">
        <v>1989</v>
      </c>
      <c r="C1073" t="s">
        <v>1995</v>
      </c>
      <c r="D1073" t="str">
        <f>"3913"</f>
        <v>3913</v>
      </c>
      <c r="E1073" t="s">
        <v>826</v>
      </c>
    </row>
    <row r="1074" spans="1:5" x14ac:dyDescent="0.25">
      <c r="A1074" t="str">
        <f t="shared" si="50"/>
        <v>08122</v>
      </c>
      <c r="B1074" t="s">
        <v>1989</v>
      </c>
      <c r="C1074" t="s">
        <v>1996</v>
      </c>
      <c r="D1074" t="str">
        <f>"3151"</f>
        <v>3151</v>
      </c>
      <c r="E1074" t="s">
        <v>824</v>
      </c>
    </row>
    <row r="1075" spans="1:5" x14ac:dyDescent="0.25">
      <c r="A1075" t="str">
        <f t="shared" si="50"/>
        <v>08122</v>
      </c>
      <c r="B1075" t="s">
        <v>1989</v>
      </c>
      <c r="C1075" t="s">
        <v>1997</v>
      </c>
      <c r="D1075" t="str">
        <f>"3658"</f>
        <v>3658</v>
      </c>
      <c r="E1075" t="s">
        <v>818</v>
      </c>
    </row>
    <row r="1076" spans="1:5" x14ac:dyDescent="0.25">
      <c r="A1076" t="str">
        <f t="shared" si="50"/>
        <v>08122</v>
      </c>
      <c r="B1076" t="s">
        <v>1989</v>
      </c>
      <c r="C1076" t="s">
        <v>1998</v>
      </c>
      <c r="D1076" t="str">
        <f>"2831"</f>
        <v>2831</v>
      </c>
      <c r="E1076" t="s">
        <v>830</v>
      </c>
    </row>
    <row r="1077" spans="1:5" x14ac:dyDescent="0.25">
      <c r="A1077" t="str">
        <f t="shared" si="50"/>
        <v>08122</v>
      </c>
      <c r="B1077" t="s">
        <v>1989</v>
      </c>
      <c r="C1077" t="s">
        <v>1999</v>
      </c>
      <c r="D1077" t="str">
        <f>"4574"</f>
        <v>4574</v>
      </c>
      <c r="E1077" t="s">
        <v>830</v>
      </c>
    </row>
    <row r="1078" spans="1:5" x14ac:dyDescent="0.25">
      <c r="A1078" t="str">
        <f t="shared" si="50"/>
        <v>08122</v>
      </c>
      <c r="B1078" t="s">
        <v>1989</v>
      </c>
      <c r="C1078" t="s">
        <v>2000</v>
      </c>
      <c r="D1078" t="str">
        <f>"2914"</f>
        <v>2914</v>
      </c>
      <c r="E1078" t="s">
        <v>818</v>
      </c>
    </row>
    <row r="1079" spans="1:5" x14ac:dyDescent="0.25">
      <c r="A1079" t="str">
        <f t="shared" si="50"/>
        <v>08122</v>
      </c>
      <c r="B1079" t="s">
        <v>1989</v>
      </c>
      <c r="C1079" t="s">
        <v>2001</v>
      </c>
      <c r="D1079" t="str">
        <f>"2726"</f>
        <v>2726</v>
      </c>
      <c r="E1079" t="s">
        <v>818</v>
      </c>
    </row>
    <row r="1080" spans="1:5" x14ac:dyDescent="0.25">
      <c r="A1080" t="str">
        <f t="shared" si="50"/>
        <v>08122</v>
      </c>
      <c r="B1080" t="s">
        <v>1989</v>
      </c>
      <c r="C1080" t="s">
        <v>2002</v>
      </c>
      <c r="D1080" t="str">
        <f>"2416"</f>
        <v>2416</v>
      </c>
      <c r="E1080" t="s">
        <v>824</v>
      </c>
    </row>
    <row r="1081" spans="1:5" x14ac:dyDescent="0.25">
      <c r="A1081" t="str">
        <f t="shared" si="50"/>
        <v>08122</v>
      </c>
      <c r="B1081" t="s">
        <v>1989</v>
      </c>
      <c r="C1081" t="s">
        <v>831</v>
      </c>
      <c r="D1081" t="str">
        <f>"3019"</f>
        <v>3019</v>
      </c>
      <c r="E1081" t="s">
        <v>818</v>
      </c>
    </row>
    <row r="1082" spans="1:5" x14ac:dyDescent="0.25">
      <c r="A1082" t="str">
        <f t="shared" si="50"/>
        <v>08122</v>
      </c>
      <c r="B1082" t="s">
        <v>1989</v>
      </c>
      <c r="C1082" t="s">
        <v>2003</v>
      </c>
      <c r="D1082" t="str">
        <f>"2370"</f>
        <v>2370</v>
      </c>
      <c r="E1082" t="s">
        <v>818</v>
      </c>
    </row>
    <row r="1083" spans="1:5" x14ac:dyDescent="0.25">
      <c r="A1083" t="str">
        <f>"33183"</f>
        <v>33183</v>
      </c>
      <c r="B1083" t="s">
        <v>2004</v>
      </c>
      <c r="C1083" t="s">
        <v>2005</v>
      </c>
      <c r="D1083" t="str">
        <f>"2480"</f>
        <v>2480</v>
      </c>
      <c r="E1083" t="s">
        <v>818</v>
      </c>
    </row>
    <row r="1084" spans="1:5" x14ac:dyDescent="0.25">
      <c r="A1084" t="str">
        <f>"33183"</f>
        <v>33183</v>
      </c>
      <c r="B1084" t="s">
        <v>2004</v>
      </c>
      <c r="C1084" t="s">
        <v>2006</v>
      </c>
      <c r="D1084" t="str">
        <f>"1922"</f>
        <v>1922</v>
      </c>
      <c r="E1084" t="s">
        <v>821</v>
      </c>
    </row>
    <row r="1085" spans="1:5" x14ac:dyDescent="0.25">
      <c r="A1085" t="str">
        <f>"28144"</f>
        <v>28144</v>
      </c>
      <c r="B1085" t="s">
        <v>2007</v>
      </c>
      <c r="C1085" t="s">
        <v>2008</v>
      </c>
      <c r="D1085" t="str">
        <f>"5299"</f>
        <v>5299</v>
      </c>
      <c r="E1085" t="s">
        <v>859</v>
      </c>
    </row>
    <row r="1086" spans="1:5" x14ac:dyDescent="0.25">
      <c r="A1086" t="str">
        <f>"28144"</f>
        <v>28144</v>
      </c>
      <c r="B1086" t="s">
        <v>2007</v>
      </c>
      <c r="C1086" t="s">
        <v>2009</v>
      </c>
      <c r="D1086" t="str">
        <f>"4178"</f>
        <v>4178</v>
      </c>
      <c r="E1086" t="s">
        <v>821</v>
      </c>
    </row>
    <row r="1087" spans="1:5" x14ac:dyDescent="0.25">
      <c r="A1087" t="str">
        <f>"28144"</f>
        <v>28144</v>
      </c>
      <c r="B1087" t="s">
        <v>2007</v>
      </c>
      <c r="C1087" t="s">
        <v>2010</v>
      </c>
      <c r="D1087" t="str">
        <f>"4107"</f>
        <v>4107</v>
      </c>
      <c r="E1087" t="s">
        <v>818</v>
      </c>
    </row>
    <row r="1088" spans="1:5" x14ac:dyDescent="0.25">
      <c r="A1088" t="str">
        <f>"28144"</f>
        <v>28144</v>
      </c>
      <c r="B1088" t="s">
        <v>2007</v>
      </c>
      <c r="C1088" t="s">
        <v>2011</v>
      </c>
      <c r="D1088" t="str">
        <f>"2632"</f>
        <v>2632</v>
      </c>
      <c r="E1088" t="s">
        <v>821</v>
      </c>
    </row>
    <row r="1089" spans="1:5" x14ac:dyDescent="0.25">
      <c r="A1089" t="str">
        <f>"37903"</f>
        <v>37903</v>
      </c>
      <c r="B1089" t="s">
        <v>2012</v>
      </c>
      <c r="C1089" t="s">
        <v>2013</v>
      </c>
      <c r="D1089" t="str">
        <f>"5373"</f>
        <v>5373</v>
      </c>
      <c r="E1089" t="s">
        <v>859</v>
      </c>
    </row>
    <row r="1090" spans="1:5" x14ac:dyDescent="0.25">
      <c r="A1090" t="str">
        <f>"20406"</f>
        <v>20406</v>
      </c>
      <c r="B1090" t="s">
        <v>2014</v>
      </c>
      <c r="C1090" t="s">
        <v>2015</v>
      </c>
      <c r="D1090" t="str">
        <f>"3049"</f>
        <v>3049</v>
      </c>
      <c r="E1090" t="s">
        <v>818</v>
      </c>
    </row>
    <row r="1091" spans="1:5" x14ac:dyDescent="0.25">
      <c r="A1091" t="str">
        <f>"20406"</f>
        <v>20406</v>
      </c>
      <c r="B1091" t="s">
        <v>2014</v>
      </c>
      <c r="C1091" t="s">
        <v>2016</v>
      </c>
      <c r="D1091" t="str">
        <f>"3111"</f>
        <v>3111</v>
      </c>
      <c r="E1091" t="s">
        <v>824</v>
      </c>
    </row>
    <row r="1092" spans="1:5" x14ac:dyDescent="0.25">
      <c r="A1092" t="str">
        <f>"20406"</f>
        <v>20406</v>
      </c>
      <c r="B1092" t="s">
        <v>2014</v>
      </c>
      <c r="C1092" t="s">
        <v>2017</v>
      </c>
      <c r="D1092" t="str">
        <f>"3643"</f>
        <v>3643</v>
      </c>
      <c r="E1092" t="s">
        <v>830</v>
      </c>
    </row>
    <row r="1093" spans="1:5" x14ac:dyDescent="0.25">
      <c r="A1093" t="str">
        <f>"20406"</f>
        <v>20406</v>
      </c>
      <c r="B1093" t="s">
        <v>2014</v>
      </c>
      <c r="C1093" t="s">
        <v>2018</v>
      </c>
      <c r="D1093" t="str">
        <f>"5503"</f>
        <v>5503</v>
      </c>
      <c r="E1093" t="s">
        <v>824</v>
      </c>
    </row>
    <row r="1094" spans="1:5" x14ac:dyDescent="0.25">
      <c r="A1094" t="str">
        <f t="shared" ref="A1094:A1101" si="51">"37504"</f>
        <v>37504</v>
      </c>
      <c r="B1094" t="s">
        <v>2019</v>
      </c>
      <c r="C1094" t="s">
        <v>2020</v>
      </c>
      <c r="D1094" t="str">
        <f>"3417"</f>
        <v>3417</v>
      </c>
      <c r="E1094" t="s">
        <v>818</v>
      </c>
    </row>
    <row r="1095" spans="1:5" x14ac:dyDescent="0.25">
      <c r="A1095" t="str">
        <f t="shared" si="51"/>
        <v>37504</v>
      </c>
      <c r="B1095" t="s">
        <v>2019</v>
      </c>
      <c r="C1095" t="s">
        <v>2021</v>
      </c>
      <c r="D1095" t="str">
        <f>"5466"</f>
        <v>5466</v>
      </c>
      <c r="E1095" t="s">
        <v>824</v>
      </c>
    </row>
    <row r="1096" spans="1:5" x14ac:dyDescent="0.25">
      <c r="A1096" t="str">
        <f t="shared" si="51"/>
        <v>37504</v>
      </c>
      <c r="B1096" t="s">
        <v>2019</v>
      </c>
      <c r="C1096" t="s">
        <v>2022</v>
      </c>
      <c r="D1096" t="str">
        <f>"4324"</f>
        <v>4324</v>
      </c>
      <c r="E1096" t="s">
        <v>818</v>
      </c>
    </row>
    <row r="1097" spans="1:5" x14ac:dyDescent="0.25">
      <c r="A1097" t="str">
        <f t="shared" si="51"/>
        <v>37504</v>
      </c>
      <c r="B1097" t="s">
        <v>2019</v>
      </c>
      <c r="C1097" t="s">
        <v>2023</v>
      </c>
      <c r="D1097" t="str">
        <f>"1983"</f>
        <v>1983</v>
      </c>
      <c r="E1097" t="s">
        <v>859</v>
      </c>
    </row>
    <row r="1098" spans="1:5" x14ac:dyDescent="0.25">
      <c r="A1098" t="str">
        <f t="shared" si="51"/>
        <v>37504</v>
      </c>
      <c r="B1098" t="s">
        <v>2019</v>
      </c>
      <c r="C1098" t="s">
        <v>2024</v>
      </c>
      <c r="D1098" t="str">
        <f>"4201"</f>
        <v>4201</v>
      </c>
      <c r="E1098" t="s">
        <v>824</v>
      </c>
    </row>
    <row r="1099" spans="1:5" x14ac:dyDescent="0.25">
      <c r="A1099" t="str">
        <f t="shared" si="51"/>
        <v>37504</v>
      </c>
      <c r="B1099" t="s">
        <v>2019</v>
      </c>
      <c r="C1099" t="s">
        <v>2025</v>
      </c>
      <c r="D1099" t="str">
        <f>"2219"</f>
        <v>2219</v>
      </c>
      <c r="E1099" t="s">
        <v>830</v>
      </c>
    </row>
    <row r="1100" spans="1:5" x14ac:dyDescent="0.25">
      <c r="A1100" t="str">
        <f t="shared" si="51"/>
        <v>37504</v>
      </c>
      <c r="B1100" t="s">
        <v>2019</v>
      </c>
      <c r="C1100" t="s">
        <v>2026</v>
      </c>
      <c r="D1100" t="str">
        <f>"1914"</f>
        <v>1914</v>
      </c>
      <c r="E1100" t="s">
        <v>826</v>
      </c>
    </row>
    <row r="1101" spans="1:5" x14ac:dyDescent="0.25">
      <c r="A1101" t="str">
        <f t="shared" si="51"/>
        <v>37504</v>
      </c>
      <c r="B1101" t="s">
        <v>2019</v>
      </c>
      <c r="C1101" t="s">
        <v>2027</v>
      </c>
      <c r="D1101" t="str">
        <f>"4517"</f>
        <v>4517</v>
      </c>
      <c r="E1101" t="s">
        <v>818</v>
      </c>
    </row>
    <row r="1102" spans="1:5" x14ac:dyDescent="0.25">
      <c r="A1102" t="str">
        <f>"39120"</f>
        <v>39120</v>
      </c>
      <c r="B1102" t="s">
        <v>2028</v>
      </c>
      <c r="C1102" t="s">
        <v>2029</v>
      </c>
      <c r="D1102" t="str">
        <f>"3070"</f>
        <v>3070</v>
      </c>
      <c r="E1102" t="s">
        <v>818</v>
      </c>
    </row>
    <row r="1103" spans="1:5" x14ac:dyDescent="0.25">
      <c r="A1103" t="str">
        <f>"39120"</f>
        <v>39120</v>
      </c>
      <c r="B1103" t="s">
        <v>2028</v>
      </c>
      <c r="C1103" t="s">
        <v>2030</v>
      </c>
      <c r="D1103" t="str">
        <f>"5289"</f>
        <v>5289</v>
      </c>
      <c r="E1103" t="s">
        <v>821</v>
      </c>
    </row>
    <row r="1104" spans="1:5" x14ac:dyDescent="0.25">
      <c r="A1104" t="str">
        <f>"39120"</f>
        <v>39120</v>
      </c>
      <c r="B1104" t="s">
        <v>2028</v>
      </c>
      <c r="C1104" t="s">
        <v>2031</v>
      </c>
      <c r="D1104" t="str">
        <f>"5443"</f>
        <v>5443</v>
      </c>
      <c r="E1104" t="s">
        <v>824</v>
      </c>
    </row>
    <row r="1105" spans="1:5" x14ac:dyDescent="0.25">
      <c r="A1105" t="str">
        <f>"09207"</f>
        <v>09207</v>
      </c>
      <c r="B1105" t="s">
        <v>2032</v>
      </c>
      <c r="C1105" t="s">
        <v>2033</v>
      </c>
      <c r="D1105" t="str">
        <f>"2233"</f>
        <v>2233</v>
      </c>
      <c r="E1105" t="s">
        <v>859</v>
      </c>
    </row>
    <row r="1106" spans="1:5" x14ac:dyDescent="0.25">
      <c r="A1106" t="str">
        <f>"04019"</f>
        <v>04019</v>
      </c>
      <c r="B1106" t="s">
        <v>2034</v>
      </c>
      <c r="C1106" t="s">
        <v>2035</v>
      </c>
      <c r="D1106" t="str">
        <f>"2196"</f>
        <v>2196</v>
      </c>
      <c r="E1106" t="s">
        <v>818</v>
      </c>
    </row>
    <row r="1107" spans="1:5" x14ac:dyDescent="0.25">
      <c r="A1107" t="str">
        <f>"04019"</f>
        <v>04019</v>
      </c>
      <c r="B1107" t="s">
        <v>2034</v>
      </c>
      <c r="C1107" t="s">
        <v>2036</v>
      </c>
      <c r="D1107" t="str">
        <f>"2623"</f>
        <v>2623</v>
      </c>
      <c r="E1107" t="s">
        <v>824</v>
      </c>
    </row>
    <row r="1108" spans="1:5" x14ac:dyDescent="0.25">
      <c r="A1108" t="str">
        <f>"04019"</f>
        <v>04019</v>
      </c>
      <c r="B1108" t="s">
        <v>2034</v>
      </c>
      <c r="C1108" t="s">
        <v>2037</v>
      </c>
      <c r="D1108" t="str">
        <f>"5286"</f>
        <v>5286</v>
      </c>
      <c r="E1108" t="s">
        <v>830</v>
      </c>
    </row>
    <row r="1109" spans="1:5" x14ac:dyDescent="0.25">
      <c r="A1109" t="str">
        <f>"23311"</f>
        <v>23311</v>
      </c>
      <c r="B1109" t="s">
        <v>2038</v>
      </c>
      <c r="C1109" t="s">
        <v>2039</v>
      </c>
      <c r="D1109" t="str">
        <f>"5444"</f>
        <v>5444</v>
      </c>
      <c r="E1109" t="s">
        <v>851</v>
      </c>
    </row>
    <row r="1110" spans="1:5" x14ac:dyDescent="0.25">
      <c r="A1110" t="str">
        <f>"23311"</f>
        <v>23311</v>
      </c>
      <c r="B1110" t="s">
        <v>2038</v>
      </c>
      <c r="C1110" t="s">
        <v>2040</v>
      </c>
      <c r="D1110" t="str">
        <f>"5445"</f>
        <v>5445</v>
      </c>
      <c r="E1110" t="s">
        <v>821</v>
      </c>
    </row>
    <row r="1111" spans="1:5" x14ac:dyDescent="0.25">
      <c r="A1111" t="str">
        <f t="shared" ref="A1111:A1116" si="52">"33207"</f>
        <v>33207</v>
      </c>
      <c r="B1111" t="s">
        <v>2041</v>
      </c>
      <c r="C1111" t="s">
        <v>2042</v>
      </c>
      <c r="D1111" t="str">
        <f>"1820"</f>
        <v>1820</v>
      </c>
      <c r="E1111" t="s">
        <v>824</v>
      </c>
    </row>
    <row r="1112" spans="1:5" x14ac:dyDescent="0.25">
      <c r="A1112" t="str">
        <f t="shared" si="52"/>
        <v>33207</v>
      </c>
      <c r="B1112" t="s">
        <v>2041</v>
      </c>
      <c r="C1112" t="s">
        <v>2043</v>
      </c>
      <c r="D1112" t="str">
        <f>"3311"</f>
        <v>3311</v>
      </c>
      <c r="E1112" t="s">
        <v>824</v>
      </c>
    </row>
    <row r="1113" spans="1:5" x14ac:dyDescent="0.25">
      <c r="A1113" t="str">
        <f t="shared" si="52"/>
        <v>33207</v>
      </c>
      <c r="B1113" t="s">
        <v>2041</v>
      </c>
      <c r="C1113" t="s">
        <v>2044</v>
      </c>
      <c r="D1113" t="str">
        <f>"5446"</f>
        <v>5446</v>
      </c>
      <c r="E1113" t="s">
        <v>859</v>
      </c>
    </row>
    <row r="1114" spans="1:5" x14ac:dyDescent="0.25">
      <c r="A1114" t="str">
        <f t="shared" si="52"/>
        <v>33207</v>
      </c>
      <c r="B1114" t="s">
        <v>2041</v>
      </c>
      <c r="C1114" t="s">
        <v>2045</v>
      </c>
      <c r="D1114" t="str">
        <f>"1857"</f>
        <v>1857</v>
      </c>
      <c r="E1114" t="s">
        <v>859</v>
      </c>
    </row>
    <row r="1115" spans="1:5" x14ac:dyDescent="0.25">
      <c r="A1115" t="str">
        <f t="shared" si="52"/>
        <v>33207</v>
      </c>
      <c r="B1115" t="s">
        <v>2041</v>
      </c>
      <c r="C1115" t="s">
        <v>2046</v>
      </c>
      <c r="D1115" t="str">
        <f>"2297"</f>
        <v>2297</v>
      </c>
      <c r="E1115" t="s">
        <v>818</v>
      </c>
    </row>
    <row r="1116" spans="1:5" x14ac:dyDescent="0.25">
      <c r="A1116" t="str">
        <f t="shared" si="52"/>
        <v>33207</v>
      </c>
      <c r="B1116" t="s">
        <v>2041</v>
      </c>
      <c r="C1116" t="s">
        <v>2047</v>
      </c>
      <c r="D1116" t="str">
        <f>"3894"</f>
        <v>3894</v>
      </c>
      <c r="E1116" t="s">
        <v>830</v>
      </c>
    </row>
    <row r="1117" spans="1:5" x14ac:dyDescent="0.25">
      <c r="A1117" t="str">
        <f t="shared" ref="A1117:A1139" si="53">"31025"</f>
        <v>31025</v>
      </c>
      <c r="B1117" t="s">
        <v>2048</v>
      </c>
      <c r="C1117" t="s">
        <v>2049</v>
      </c>
      <c r="D1117" t="str">
        <f>"1656"</f>
        <v>1656</v>
      </c>
      <c r="E1117" t="s">
        <v>830</v>
      </c>
    </row>
    <row r="1118" spans="1:5" x14ac:dyDescent="0.25">
      <c r="A1118" t="str">
        <f t="shared" si="53"/>
        <v>31025</v>
      </c>
      <c r="B1118" t="s">
        <v>2048</v>
      </c>
      <c r="C1118" t="s">
        <v>2050</v>
      </c>
      <c r="D1118" t="str">
        <f>"4454"</f>
        <v>4454</v>
      </c>
      <c r="E1118" t="s">
        <v>818</v>
      </c>
    </row>
    <row r="1119" spans="1:5" x14ac:dyDescent="0.25">
      <c r="A1119" t="str">
        <f t="shared" si="53"/>
        <v>31025</v>
      </c>
      <c r="B1119" t="s">
        <v>2048</v>
      </c>
      <c r="C1119" t="s">
        <v>1357</v>
      </c>
      <c r="D1119" t="str">
        <f>"3059"</f>
        <v>3059</v>
      </c>
      <c r="E1119" t="s">
        <v>818</v>
      </c>
    </row>
    <row r="1120" spans="1:5" x14ac:dyDescent="0.25">
      <c r="A1120" t="str">
        <f t="shared" si="53"/>
        <v>31025</v>
      </c>
      <c r="B1120" t="s">
        <v>2048</v>
      </c>
      <c r="C1120" t="s">
        <v>2051</v>
      </c>
      <c r="D1120" t="str">
        <f>"4357"</f>
        <v>4357</v>
      </c>
      <c r="E1120" t="s">
        <v>830</v>
      </c>
    </row>
    <row r="1121" spans="1:5" x14ac:dyDescent="0.25">
      <c r="A1121" t="str">
        <f t="shared" si="53"/>
        <v>31025</v>
      </c>
      <c r="B1121" t="s">
        <v>2048</v>
      </c>
      <c r="C1121" t="s">
        <v>2052</v>
      </c>
      <c r="D1121" t="str">
        <f>"1895"</f>
        <v>1895</v>
      </c>
      <c r="E1121" t="s">
        <v>826</v>
      </c>
    </row>
    <row r="1122" spans="1:5" x14ac:dyDescent="0.25">
      <c r="A1122" t="str">
        <f t="shared" si="53"/>
        <v>31025</v>
      </c>
      <c r="B1122" t="s">
        <v>2048</v>
      </c>
      <c r="C1122" t="s">
        <v>2053</v>
      </c>
      <c r="D1122" t="str">
        <f>"5123"</f>
        <v>5123</v>
      </c>
      <c r="E1122" t="s">
        <v>818</v>
      </c>
    </row>
    <row r="1123" spans="1:5" x14ac:dyDescent="0.25">
      <c r="A1123" t="str">
        <f t="shared" si="53"/>
        <v>31025</v>
      </c>
      <c r="B1123" t="s">
        <v>2048</v>
      </c>
      <c r="C1123" t="s">
        <v>2054</v>
      </c>
      <c r="D1123" t="str">
        <f>"1657"</f>
        <v>1657</v>
      </c>
      <c r="E1123" t="s">
        <v>824</v>
      </c>
    </row>
    <row r="1124" spans="1:5" x14ac:dyDescent="0.25">
      <c r="A1124" t="str">
        <f t="shared" si="53"/>
        <v>31025</v>
      </c>
      <c r="B1124" t="s">
        <v>2048</v>
      </c>
      <c r="C1124" t="s">
        <v>2055</v>
      </c>
      <c r="D1124" t="str">
        <f>"4323"</f>
        <v>4323</v>
      </c>
      <c r="E1124" t="s">
        <v>818</v>
      </c>
    </row>
    <row r="1125" spans="1:5" x14ac:dyDescent="0.25">
      <c r="A1125" t="str">
        <f t="shared" si="53"/>
        <v>31025</v>
      </c>
      <c r="B1125" t="s">
        <v>2048</v>
      </c>
      <c r="C1125" t="s">
        <v>1522</v>
      </c>
      <c r="D1125" t="str">
        <f>"1927"</f>
        <v>1927</v>
      </c>
      <c r="E1125" t="s">
        <v>824</v>
      </c>
    </row>
    <row r="1126" spans="1:5" x14ac:dyDescent="0.25">
      <c r="A1126" t="str">
        <f t="shared" si="53"/>
        <v>31025</v>
      </c>
      <c r="B1126" t="s">
        <v>2048</v>
      </c>
      <c r="C1126" t="s">
        <v>2056</v>
      </c>
      <c r="D1126" t="str">
        <f>"3964"</f>
        <v>3964</v>
      </c>
      <c r="E1126" t="s">
        <v>818</v>
      </c>
    </row>
    <row r="1127" spans="1:5" x14ac:dyDescent="0.25">
      <c r="A1127" t="str">
        <f t="shared" si="53"/>
        <v>31025</v>
      </c>
      <c r="B1127" t="s">
        <v>2048</v>
      </c>
      <c r="C1127" t="s">
        <v>2057</v>
      </c>
      <c r="D1127" t="str">
        <f>"4150"</f>
        <v>4150</v>
      </c>
      <c r="E1127" t="s">
        <v>818</v>
      </c>
    </row>
    <row r="1128" spans="1:5" x14ac:dyDescent="0.25">
      <c r="A1128" t="str">
        <f t="shared" si="53"/>
        <v>31025</v>
      </c>
      <c r="B1128" t="s">
        <v>2048</v>
      </c>
      <c r="C1128" t="s">
        <v>2058</v>
      </c>
      <c r="D1128" t="str">
        <f>"1862"</f>
        <v>1862</v>
      </c>
      <c r="E1128" t="s">
        <v>818</v>
      </c>
    </row>
    <row r="1129" spans="1:5" x14ac:dyDescent="0.25">
      <c r="A1129" t="str">
        <f t="shared" si="53"/>
        <v>31025</v>
      </c>
      <c r="B1129" t="s">
        <v>2048</v>
      </c>
      <c r="C1129" t="s">
        <v>2059</v>
      </c>
      <c r="D1129" t="str">
        <f>"5478"</f>
        <v>5478</v>
      </c>
      <c r="E1129" t="s">
        <v>824</v>
      </c>
    </row>
    <row r="1130" spans="1:5" x14ac:dyDescent="0.25">
      <c r="A1130" t="str">
        <f t="shared" si="53"/>
        <v>31025</v>
      </c>
      <c r="B1130" t="s">
        <v>2048</v>
      </c>
      <c r="C1130" t="s">
        <v>2060</v>
      </c>
      <c r="D1130" t="str">
        <f>"3355"</f>
        <v>3355</v>
      </c>
      <c r="E1130" t="s">
        <v>830</v>
      </c>
    </row>
    <row r="1131" spans="1:5" x14ac:dyDescent="0.25">
      <c r="A1131" t="str">
        <f t="shared" si="53"/>
        <v>31025</v>
      </c>
      <c r="B1131" t="s">
        <v>2048</v>
      </c>
      <c r="C1131" t="s">
        <v>2061</v>
      </c>
      <c r="D1131" t="str">
        <f>"5402"</f>
        <v>5402</v>
      </c>
      <c r="E1131" t="s">
        <v>824</v>
      </c>
    </row>
    <row r="1132" spans="1:5" x14ac:dyDescent="0.25">
      <c r="A1132" t="str">
        <f t="shared" si="53"/>
        <v>31025</v>
      </c>
      <c r="B1132" t="s">
        <v>2048</v>
      </c>
      <c r="C1132" t="s">
        <v>2062</v>
      </c>
      <c r="D1132" t="str">
        <f>"5213"</f>
        <v>5213</v>
      </c>
      <c r="E1132" t="s">
        <v>824</v>
      </c>
    </row>
    <row r="1133" spans="1:5" x14ac:dyDescent="0.25">
      <c r="A1133" t="str">
        <f t="shared" si="53"/>
        <v>31025</v>
      </c>
      <c r="B1133" t="s">
        <v>2048</v>
      </c>
      <c r="C1133" t="s">
        <v>2063</v>
      </c>
      <c r="D1133" t="str">
        <f>"1910"</f>
        <v>1910</v>
      </c>
      <c r="E1133" t="s">
        <v>851</v>
      </c>
    </row>
    <row r="1134" spans="1:5" x14ac:dyDescent="0.25">
      <c r="A1134" t="str">
        <f t="shared" si="53"/>
        <v>31025</v>
      </c>
      <c r="B1134" t="s">
        <v>2048</v>
      </c>
      <c r="C1134" t="s">
        <v>2064</v>
      </c>
      <c r="D1134" t="str">
        <f>"3651"</f>
        <v>3651</v>
      </c>
      <c r="E1134" t="s">
        <v>818</v>
      </c>
    </row>
    <row r="1135" spans="1:5" x14ac:dyDescent="0.25">
      <c r="A1135" t="str">
        <f t="shared" si="53"/>
        <v>31025</v>
      </c>
      <c r="B1135" t="s">
        <v>2048</v>
      </c>
      <c r="C1135" t="s">
        <v>2065</v>
      </c>
      <c r="D1135" t="str">
        <f>"5350"</f>
        <v>5350</v>
      </c>
      <c r="E1135" t="s">
        <v>818</v>
      </c>
    </row>
    <row r="1136" spans="1:5" x14ac:dyDescent="0.25">
      <c r="A1136" t="str">
        <f t="shared" si="53"/>
        <v>31025</v>
      </c>
      <c r="B1136" t="s">
        <v>2048</v>
      </c>
      <c r="C1136" t="s">
        <v>2066</v>
      </c>
      <c r="D1136" t="str">
        <f>"1744"</f>
        <v>1744</v>
      </c>
      <c r="E1136" t="s">
        <v>821</v>
      </c>
    </row>
    <row r="1137" spans="1:5" x14ac:dyDescent="0.25">
      <c r="A1137" t="str">
        <f t="shared" si="53"/>
        <v>31025</v>
      </c>
      <c r="B1137" t="s">
        <v>2048</v>
      </c>
      <c r="C1137" t="s">
        <v>2067</v>
      </c>
      <c r="D1137" t="str">
        <f>"3187"</f>
        <v>3187</v>
      </c>
      <c r="E1137" t="s">
        <v>818</v>
      </c>
    </row>
    <row r="1138" spans="1:5" x14ac:dyDescent="0.25">
      <c r="A1138" t="str">
        <f t="shared" si="53"/>
        <v>31025</v>
      </c>
      <c r="B1138" t="s">
        <v>2048</v>
      </c>
      <c r="C1138" t="s">
        <v>2068</v>
      </c>
      <c r="D1138" t="str">
        <f>"3537"</f>
        <v>3537</v>
      </c>
      <c r="E1138" t="s">
        <v>818</v>
      </c>
    </row>
    <row r="1139" spans="1:5" x14ac:dyDescent="0.25">
      <c r="A1139" t="str">
        <f t="shared" si="53"/>
        <v>31025</v>
      </c>
      <c r="B1139" t="s">
        <v>2048</v>
      </c>
      <c r="C1139" t="s">
        <v>1581</v>
      </c>
      <c r="D1139" t="str">
        <f>"2813"</f>
        <v>2813</v>
      </c>
      <c r="E1139" t="s">
        <v>830</v>
      </c>
    </row>
    <row r="1140" spans="1:5" x14ac:dyDescent="0.25">
      <c r="A1140" t="str">
        <f>"14065"</f>
        <v>14065</v>
      </c>
      <c r="B1140" t="s">
        <v>2069</v>
      </c>
      <c r="C1140" t="s">
        <v>2070</v>
      </c>
      <c r="D1140" t="str">
        <f>"2835"</f>
        <v>2835</v>
      </c>
      <c r="E1140" t="s">
        <v>821</v>
      </c>
    </row>
    <row r="1141" spans="1:5" x14ac:dyDescent="0.25">
      <c r="A1141" t="str">
        <f t="shared" ref="A1141:A1157" si="54">"32354"</f>
        <v>32354</v>
      </c>
      <c r="B1141" t="s">
        <v>2071</v>
      </c>
      <c r="C1141" t="s">
        <v>2072</v>
      </c>
      <c r="D1141" t="str">
        <f>"3693"</f>
        <v>3693</v>
      </c>
      <c r="E1141" t="s">
        <v>818</v>
      </c>
    </row>
    <row r="1142" spans="1:5" x14ac:dyDescent="0.25">
      <c r="A1142" t="str">
        <f t="shared" si="54"/>
        <v>32354</v>
      </c>
      <c r="B1142" t="s">
        <v>2071</v>
      </c>
      <c r="C1142" t="s">
        <v>2073</v>
      </c>
      <c r="D1142" t="str">
        <f>"3562"</f>
        <v>3562</v>
      </c>
      <c r="E1142" t="s">
        <v>818</v>
      </c>
    </row>
    <row r="1143" spans="1:5" x14ac:dyDescent="0.25">
      <c r="A1143" t="str">
        <f t="shared" si="54"/>
        <v>32354</v>
      </c>
      <c r="B1143" t="s">
        <v>2071</v>
      </c>
      <c r="C1143" t="s">
        <v>1229</v>
      </c>
      <c r="D1143" t="str">
        <f>"3414"</f>
        <v>3414</v>
      </c>
      <c r="E1143" t="s">
        <v>818</v>
      </c>
    </row>
    <row r="1144" spans="1:5" x14ac:dyDescent="0.25">
      <c r="A1144" t="str">
        <f t="shared" si="54"/>
        <v>32354</v>
      </c>
      <c r="B1144" t="s">
        <v>2071</v>
      </c>
      <c r="C1144" t="s">
        <v>2074</v>
      </c>
      <c r="D1144" t="str">
        <f>"3759"</f>
        <v>3759</v>
      </c>
      <c r="E1144" t="s">
        <v>818</v>
      </c>
    </row>
    <row r="1145" spans="1:5" x14ac:dyDescent="0.25">
      <c r="A1145" t="str">
        <f t="shared" si="54"/>
        <v>32354</v>
      </c>
      <c r="B1145" t="s">
        <v>2071</v>
      </c>
      <c r="C1145" t="s">
        <v>2075</v>
      </c>
      <c r="D1145" t="str">
        <f>"1803"</f>
        <v>1803</v>
      </c>
      <c r="E1145" t="s">
        <v>824</v>
      </c>
    </row>
    <row r="1146" spans="1:5" x14ac:dyDescent="0.25">
      <c r="A1146" t="str">
        <f t="shared" si="54"/>
        <v>32354</v>
      </c>
      <c r="B1146" t="s">
        <v>2071</v>
      </c>
      <c r="C1146" t="s">
        <v>2076</v>
      </c>
      <c r="D1146" t="str">
        <f>"1858"</f>
        <v>1858</v>
      </c>
      <c r="E1146" t="s">
        <v>859</v>
      </c>
    </row>
    <row r="1147" spans="1:5" x14ac:dyDescent="0.25">
      <c r="A1147" t="str">
        <f t="shared" si="54"/>
        <v>32354</v>
      </c>
      <c r="B1147" t="s">
        <v>2071</v>
      </c>
      <c r="C1147" t="s">
        <v>2077</v>
      </c>
      <c r="D1147" t="str">
        <f>"5401"</f>
        <v>5401</v>
      </c>
      <c r="E1147" t="s">
        <v>824</v>
      </c>
    </row>
    <row r="1148" spans="1:5" x14ac:dyDescent="0.25">
      <c r="A1148" t="str">
        <f t="shared" si="54"/>
        <v>32354</v>
      </c>
      <c r="B1148" t="s">
        <v>2071</v>
      </c>
      <c r="C1148" t="s">
        <v>2078</v>
      </c>
      <c r="D1148" t="str">
        <f>"5122"</f>
        <v>5122</v>
      </c>
      <c r="E1148" t="s">
        <v>826</v>
      </c>
    </row>
    <row r="1149" spans="1:5" x14ac:dyDescent="0.25">
      <c r="A1149" t="str">
        <f t="shared" si="54"/>
        <v>32354</v>
      </c>
      <c r="B1149" t="s">
        <v>2071</v>
      </c>
      <c r="C1149" t="s">
        <v>2079</v>
      </c>
      <c r="D1149" t="str">
        <f>"2402"</f>
        <v>2402</v>
      </c>
      <c r="E1149" t="s">
        <v>824</v>
      </c>
    </row>
    <row r="1150" spans="1:5" x14ac:dyDescent="0.25">
      <c r="A1150" t="str">
        <f t="shared" si="54"/>
        <v>32354</v>
      </c>
      <c r="B1150" t="s">
        <v>2071</v>
      </c>
      <c r="C1150" t="s">
        <v>2080</v>
      </c>
      <c r="D1150" t="str">
        <f>"4400"</f>
        <v>4400</v>
      </c>
      <c r="E1150" t="s">
        <v>818</v>
      </c>
    </row>
    <row r="1151" spans="1:5" x14ac:dyDescent="0.25">
      <c r="A1151" t="str">
        <f t="shared" si="54"/>
        <v>32354</v>
      </c>
      <c r="B1151" t="s">
        <v>2071</v>
      </c>
      <c r="C1151" t="s">
        <v>1703</v>
      </c>
      <c r="D1151" t="str">
        <f>"4133"</f>
        <v>4133</v>
      </c>
      <c r="E1151" t="s">
        <v>818</v>
      </c>
    </row>
    <row r="1152" spans="1:5" x14ac:dyDescent="0.25">
      <c r="A1152" t="str">
        <f t="shared" si="54"/>
        <v>32354</v>
      </c>
      <c r="B1152" t="s">
        <v>2071</v>
      </c>
      <c r="C1152" t="s">
        <v>2081</v>
      </c>
      <c r="D1152" t="str">
        <f>"3191"</f>
        <v>3191</v>
      </c>
      <c r="E1152" t="s">
        <v>830</v>
      </c>
    </row>
    <row r="1153" spans="1:5" x14ac:dyDescent="0.25">
      <c r="A1153" t="str">
        <f t="shared" si="54"/>
        <v>32354</v>
      </c>
      <c r="B1153" t="s">
        <v>2071</v>
      </c>
      <c r="C1153" t="s">
        <v>2082</v>
      </c>
      <c r="D1153" t="str">
        <f>"4491"</f>
        <v>4491</v>
      </c>
      <c r="E1153" t="s">
        <v>824</v>
      </c>
    </row>
    <row r="1154" spans="1:5" x14ac:dyDescent="0.25">
      <c r="A1154" t="str">
        <f t="shared" si="54"/>
        <v>32354</v>
      </c>
      <c r="B1154" t="s">
        <v>2071</v>
      </c>
      <c r="C1154" t="s">
        <v>1853</v>
      </c>
      <c r="D1154" t="str">
        <f>"3851"</f>
        <v>3851</v>
      </c>
      <c r="E1154" t="s">
        <v>830</v>
      </c>
    </row>
    <row r="1155" spans="1:5" x14ac:dyDescent="0.25">
      <c r="A1155" t="str">
        <f t="shared" si="54"/>
        <v>32354</v>
      </c>
      <c r="B1155" t="s">
        <v>2071</v>
      </c>
      <c r="C1155" t="s">
        <v>2083</v>
      </c>
      <c r="D1155" t="str">
        <f>"5094"</f>
        <v>5094</v>
      </c>
      <c r="E1155" t="s">
        <v>818</v>
      </c>
    </row>
    <row r="1156" spans="1:5" x14ac:dyDescent="0.25">
      <c r="A1156" t="str">
        <f t="shared" si="54"/>
        <v>32354</v>
      </c>
      <c r="B1156" t="s">
        <v>2071</v>
      </c>
      <c r="C1156" t="s">
        <v>2084</v>
      </c>
      <c r="D1156" t="str">
        <f>"5268"</f>
        <v>5268</v>
      </c>
      <c r="E1156" t="s">
        <v>824</v>
      </c>
    </row>
    <row r="1157" spans="1:5" x14ac:dyDescent="0.25">
      <c r="A1157" t="str">
        <f t="shared" si="54"/>
        <v>32354</v>
      </c>
      <c r="B1157" t="s">
        <v>2071</v>
      </c>
      <c r="C1157" t="s">
        <v>2085</v>
      </c>
      <c r="D1157" t="str">
        <f>"4134"</f>
        <v>4134</v>
      </c>
      <c r="E1157" t="s">
        <v>818</v>
      </c>
    </row>
    <row r="1158" spans="1:5" x14ac:dyDescent="0.25">
      <c r="A1158" t="str">
        <f>"32326"</f>
        <v>32326</v>
      </c>
      <c r="B1158" t="s">
        <v>2086</v>
      </c>
      <c r="C1158" t="s">
        <v>2087</v>
      </c>
      <c r="D1158" t="str">
        <f>"4483"</f>
        <v>4483</v>
      </c>
      <c r="E1158" t="s">
        <v>818</v>
      </c>
    </row>
    <row r="1159" spans="1:5" x14ac:dyDescent="0.25">
      <c r="A1159" t="str">
        <f>"32326"</f>
        <v>32326</v>
      </c>
      <c r="B1159" t="s">
        <v>2086</v>
      </c>
      <c r="C1159" t="s">
        <v>2088</v>
      </c>
      <c r="D1159" t="str">
        <f>"5042"</f>
        <v>5042</v>
      </c>
      <c r="E1159" t="s">
        <v>824</v>
      </c>
    </row>
    <row r="1160" spans="1:5" x14ac:dyDescent="0.25">
      <c r="A1160" t="str">
        <f>"32326"</f>
        <v>32326</v>
      </c>
      <c r="B1160" t="s">
        <v>2086</v>
      </c>
      <c r="C1160" t="s">
        <v>2089</v>
      </c>
      <c r="D1160" t="str">
        <f>"2890"</f>
        <v>2890</v>
      </c>
      <c r="E1160" t="s">
        <v>824</v>
      </c>
    </row>
    <row r="1161" spans="1:5" x14ac:dyDescent="0.25">
      <c r="A1161" t="str">
        <f>"32326"</f>
        <v>32326</v>
      </c>
      <c r="B1161" t="s">
        <v>2086</v>
      </c>
      <c r="C1161" t="s">
        <v>2090</v>
      </c>
      <c r="D1161" t="str">
        <f>"3965"</f>
        <v>3965</v>
      </c>
      <c r="E1161" t="s">
        <v>830</v>
      </c>
    </row>
    <row r="1162" spans="1:5" x14ac:dyDescent="0.25">
      <c r="A1162" t="str">
        <f>"32326"</f>
        <v>32326</v>
      </c>
      <c r="B1162" t="s">
        <v>2086</v>
      </c>
      <c r="C1162" t="s">
        <v>2091</v>
      </c>
      <c r="D1162" t="str">
        <f>"4577"</f>
        <v>4577</v>
      </c>
      <c r="E1162" t="s">
        <v>818</v>
      </c>
    </row>
    <row r="1163" spans="1:5" x14ac:dyDescent="0.25">
      <c r="A1163" t="str">
        <f t="shared" ref="A1163:A1168" si="55">"17400"</f>
        <v>17400</v>
      </c>
      <c r="B1163" t="s">
        <v>2092</v>
      </c>
      <c r="C1163" t="s">
        <v>2093</v>
      </c>
      <c r="D1163" t="str">
        <f>"3162"</f>
        <v>3162</v>
      </c>
      <c r="E1163" t="s">
        <v>818</v>
      </c>
    </row>
    <row r="1164" spans="1:5" x14ac:dyDescent="0.25">
      <c r="A1164" t="str">
        <f t="shared" si="55"/>
        <v>17400</v>
      </c>
      <c r="B1164" t="s">
        <v>2092</v>
      </c>
      <c r="C1164" t="s">
        <v>2094</v>
      </c>
      <c r="D1164" t="str">
        <f>"3219"</f>
        <v>3219</v>
      </c>
      <c r="E1164" t="s">
        <v>830</v>
      </c>
    </row>
    <row r="1165" spans="1:5" x14ac:dyDescent="0.25">
      <c r="A1165" t="str">
        <f t="shared" si="55"/>
        <v>17400</v>
      </c>
      <c r="B1165" t="s">
        <v>2092</v>
      </c>
      <c r="C1165" t="s">
        <v>2095</v>
      </c>
      <c r="D1165" t="str">
        <f>"2981"</f>
        <v>2981</v>
      </c>
      <c r="E1165" t="s">
        <v>818</v>
      </c>
    </row>
    <row r="1166" spans="1:5" x14ac:dyDescent="0.25">
      <c r="A1166" t="str">
        <f t="shared" si="55"/>
        <v>17400</v>
      </c>
      <c r="B1166" t="s">
        <v>2092</v>
      </c>
      <c r="C1166" t="s">
        <v>2096</v>
      </c>
      <c r="D1166" t="str">
        <f>"3029"</f>
        <v>3029</v>
      </c>
      <c r="E1166" t="s">
        <v>824</v>
      </c>
    </row>
    <row r="1167" spans="1:5" x14ac:dyDescent="0.25">
      <c r="A1167" t="str">
        <f t="shared" si="55"/>
        <v>17400</v>
      </c>
      <c r="B1167" t="s">
        <v>2092</v>
      </c>
      <c r="C1167" t="s">
        <v>2097</v>
      </c>
      <c r="D1167" t="str">
        <f>"5447"</f>
        <v>5447</v>
      </c>
      <c r="E1167" t="s">
        <v>818</v>
      </c>
    </row>
    <row r="1168" spans="1:5" x14ac:dyDescent="0.25">
      <c r="A1168" t="str">
        <f t="shared" si="55"/>
        <v>17400</v>
      </c>
      <c r="B1168" t="s">
        <v>2092</v>
      </c>
      <c r="C1168" t="s">
        <v>2098</v>
      </c>
      <c r="D1168" t="str">
        <f>"3433"</f>
        <v>3433</v>
      </c>
      <c r="E1168" t="s">
        <v>818</v>
      </c>
    </row>
    <row r="1169" spans="1:5" x14ac:dyDescent="0.25">
      <c r="A1169" t="str">
        <f t="shared" ref="A1169:A1174" si="56">"37505"</f>
        <v>37505</v>
      </c>
      <c r="B1169" t="s">
        <v>2099</v>
      </c>
      <c r="C1169" t="s">
        <v>2100</v>
      </c>
      <c r="D1169" t="str">
        <f>"2584"</f>
        <v>2584</v>
      </c>
      <c r="E1169" t="s">
        <v>818</v>
      </c>
    </row>
    <row r="1170" spans="1:5" x14ac:dyDescent="0.25">
      <c r="A1170" t="str">
        <f t="shared" si="56"/>
        <v>37505</v>
      </c>
      <c r="B1170" t="s">
        <v>2099</v>
      </c>
      <c r="C1170" t="s">
        <v>2101</v>
      </c>
      <c r="D1170" t="str">
        <f>"2554"</f>
        <v>2554</v>
      </c>
      <c r="E1170" t="s">
        <v>824</v>
      </c>
    </row>
    <row r="1171" spans="1:5" x14ac:dyDescent="0.25">
      <c r="A1171" t="str">
        <f t="shared" si="56"/>
        <v>37505</v>
      </c>
      <c r="B1171" t="s">
        <v>2099</v>
      </c>
      <c r="C1171" t="s">
        <v>2102</v>
      </c>
      <c r="D1171" t="str">
        <f>"5448"</f>
        <v>5448</v>
      </c>
      <c r="E1171" t="s">
        <v>824</v>
      </c>
    </row>
    <row r="1172" spans="1:5" x14ac:dyDescent="0.25">
      <c r="A1172" t="str">
        <f t="shared" si="56"/>
        <v>37505</v>
      </c>
      <c r="B1172" t="s">
        <v>2099</v>
      </c>
      <c r="C1172" t="s">
        <v>1849</v>
      </c>
      <c r="D1172" t="str">
        <f>"3930"</f>
        <v>3930</v>
      </c>
      <c r="E1172" t="s">
        <v>830</v>
      </c>
    </row>
    <row r="1173" spans="1:5" x14ac:dyDescent="0.25">
      <c r="A1173" t="str">
        <f t="shared" si="56"/>
        <v>37505</v>
      </c>
      <c r="B1173" t="s">
        <v>2099</v>
      </c>
      <c r="C1173" t="s">
        <v>2103</v>
      </c>
      <c r="D1173" t="str">
        <f>"5047"</f>
        <v>5047</v>
      </c>
      <c r="E1173" t="s">
        <v>821</v>
      </c>
    </row>
    <row r="1174" spans="1:5" x14ac:dyDescent="0.25">
      <c r="A1174" t="str">
        <f t="shared" si="56"/>
        <v>37505</v>
      </c>
      <c r="B1174" t="s">
        <v>2099</v>
      </c>
      <c r="C1174" t="s">
        <v>2104</v>
      </c>
      <c r="D1174" t="str">
        <f>"1743"</f>
        <v>1743</v>
      </c>
      <c r="E1174" t="s">
        <v>851</v>
      </c>
    </row>
    <row r="1175" spans="1:5" x14ac:dyDescent="0.25">
      <c r="A1175" t="str">
        <f>"24350"</f>
        <v>24350</v>
      </c>
      <c r="B1175" t="s">
        <v>2105</v>
      </c>
      <c r="C1175" t="s">
        <v>2106</v>
      </c>
      <c r="D1175" t="str">
        <f>"1621"</f>
        <v>1621</v>
      </c>
      <c r="E1175" t="s">
        <v>824</v>
      </c>
    </row>
    <row r="1176" spans="1:5" x14ac:dyDescent="0.25">
      <c r="A1176" t="str">
        <f>"24350"</f>
        <v>24350</v>
      </c>
      <c r="B1176" t="s">
        <v>2105</v>
      </c>
      <c r="C1176" t="s">
        <v>2107</v>
      </c>
      <c r="D1176" t="str">
        <f>"1845"</f>
        <v>1845</v>
      </c>
      <c r="E1176" t="s">
        <v>859</v>
      </c>
    </row>
    <row r="1177" spans="1:5" x14ac:dyDescent="0.25">
      <c r="A1177" t="str">
        <f>"24350"</f>
        <v>24350</v>
      </c>
      <c r="B1177" t="s">
        <v>2105</v>
      </c>
      <c r="C1177" t="s">
        <v>2108</v>
      </c>
      <c r="D1177" t="str">
        <f>"2146"</f>
        <v>2146</v>
      </c>
      <c r="E1177" t="s">
        <v>821</v>
      </c>
    </row>
    <row r="1178" spans="1:5" x14ac:dyDescent="0.25">
      <c r="A1178" t="str">
        <f>"24350"</f>
        <v>24350</v>
      </c>
      <c r="B1178" t="s">
        <v>2105</v>
      </c>
      <c r="C1178" t="s">
        <v>2109</v>
      </c>
      <c r="D1178" t="str">
        <f>"4501"</f>
        <v>4501</v>
      </c>
      <c r="E1178" t="s">
        <v>818</v>
      </c>
    </row>
    <row r="1179" spans="1:5" x14ac:dyDescent="0.25">
      <c r="A1179" t="str">
        <f>"30031"</f>
        <v>30031</v>
      </c>
      <c r="B1179" t="s">
        <v>2110</v>
      </c>
      <c r="C1179" t="s">
        <v>2111</v>
      </c>
      <c r="D1179" t="str">
        <f>"3406"</f>
        <v>3406</v>
      </c>
      <c r="E1179" t="s">
        <v>821</v>
      </c>
    </row>
    <row r="1180" spans="1:5" x14ac:dyDescent="0.25">
      <c r="A1180" t="str">
        <f>"30031"</f>
        <v>30031</v>
      </c>
      <c r="B1180" t="s">
        <v>2110</v>
      </c>
      <c r="C1180" t="s">
        <v>2112</v>
      </c>
      <c r="D1180" t="str">
        <f>"5480"</f>
        <v>5480</v>
      </c>
      <c r="E1180" t="s">
        <v>824</v>
      </c>
    </row>
    <row r="1181" spans="1:5" x14ac:dyDescent="0.25">
      <c r="A1181" t="str">
        <f t="shared" ref="A1181:A1194" si="57">"31103"</f>
        <v>31103</v>
      </c>
      <c r="B1181" t="s">
        <v>2113</v>
      </c>
      <c r="C1181" t="s">
        <v>2114</v>
      </c>
      <c r="D1181" t="str">
        <f>"4362"</f>
        <v>4362</v>
      </c>
      <c r="E1181" t="s">
        <v>818</v>
      </c>
    </row>
    <row r="1182" spans="1:5" x14ac:dyDescent="0.25">
      <c r="A1182" t="str">
        <f t="shared" si="57"/>
        <v>31103</v>
      </c>
      <c r="B1182" t="s">
        <v>2113</v>
      </c>
      <c r="C1182" t="s">
        <v>2115</v>
      </c>
      <c r="D1182" t="str">
        <f>"3060"</f>
        <v>3060</v>
      </c>
      <c r="E1182" t="s">
        <v>818</v>
      </c>
    </row>
    <row r="1183" spans="1:5" x14ac:dyDescent="0.25">
      <c r="A1183" t="str">
        <f t="shared" si="57"/>
        <v>31103</v>
      </c>
      <c r="B1183" t="s">
        <v>2113</v>
      </c>
      <c r="C1183" t="s">
        <v>2116</v>
      </c>
      <c r="D1183" t="str">
        <f>"4594"</f>
        <v>4594</v>
      </c>
      <c r="E1183" t="s">
        <v>818</v>
      </c>
    </row>
    <row r="1184" spans="1:5" x14ac:dyDescent="0.25">
      <c r="A1184" t="str">
        <f t="shared" si="57"/>
        <v>31103</v>
      </c>
      <c r="B1184" t="s">
        <v>2113</v>
      </c>
      <c r="C1184" t="s">
        <v>2117</v>
      </c>
      <c r="D1184" t="str">
        <f>"4544"</f>
        <v>4544</v>
      </c>
      <c r="E1184" t="s">
        <v>830</v>
      </c>
    </row>
    <row r="1185" spans="1:5" x14ac:dyDescent="0.25">
      <c r="A1185" t="str">
        <f t="shared" si="57"/>
        <v>31103</v>
      </c>
      <c r="B1185" t="s">
        <v>2113</v>
      </c>
      <c r="C1185" t="s">
        <v>2118</v>
      </c>
      <c r="D1185" t="str">
        <f>"1806"</f>
        <v>1806</v>
      </c>
      <c r="E1185" t="s">
        <v>824</v>
      </c>
    </row>
    <row r="1186" spans="1:5" x14ac:dyDescent="0.25">
      <c r="A1186" t="str">
        <f t="shared" si="57"/>
        <v>31103</v>
      </c>
      <c r="B1186" t="s">
        <v>2113</v>
      </c>
      <c r="C1186" t="s">
        <v>2119</v>
      </c>
      <c r="D1186" t="str">
        <f>"2546"</f>
        <v>2546</v>
      </c>
      <c r="E1186" t="s">
        <v>818</v>
      </c>
    </row>
    <row r="1187" spans="1:5" x14ac:dyDescent="0.25">
      <c r="A1187" t="str">
        <f t="shared" si="57"/>
        <v>31103</v>
      </c>
      <c r="B1187" t="s">
        <v>2113</v>
      </c>
      <c r="C1187" t="s">
        <v>2120</v>
      </c>
      <c r="D1187" t="str">
        <f>"4528"</f>
        <v>4528</v>
      </c>
      <c r="E1187" t="s">
        <v>824</v>
      </c>
    </row>
    <row r="1188" spans="1:5" x14ac:dyDescent="0.25">
      <c r="A1188" t="str">
        <f t="shared" si="57"/>
        <v>31103</v>
      </c>
      <c r="B1188" t="s">
        <v>2113</v>
      </c>
      <c r="C1188" t="s">
        <v>2121</v>
      </c>
      <c r="D1188" t="str">
        <f>"1570"</f>
        <v>1570</v>
      </c>
      <c r="E1188" t="s">
        <v>826</v>
      </c>
    </row>
    <row r="1189" spans="1:5" x14ac:dyDescent="0.25">
      <c r="A1189" t="str">
        <f t="shared" si="57"/>
        <v>31103</v>
      </c>
      <c r="B1189" t="s">
        <v>2113</v>
      </c>
      <c r="C1189" t="s">
        <v>2122</v>
      </c>
      <c r="D1189" t="str">
        <f>"1643"</f>
        <v>1643</v>
      </c>
      <c r="E1189" t="s">
        <v>821</v>
      </c>
    </row>
    <row r="1190" spans="1:5" x14ac:dyDescent="0.25">
      <c r="A1190" t="str">
        <f t="shared" si="57"/>
        <v>31103</v>
      </c>
      <c r="B1190" t="s">
        <v>2113</v>
      </c>
      <c r="C1190" t="s">
        <v>2123</v>
      </c>
      <c r="D1190" t="str">
        <f>"5040"</f>
        <v>5040</v>
      </c>
      <c r="E1190" t="s">
        <v>830</v>
      </c>
    </row>
    <row r="1191" spans="1:5" x14ac:dyDescent="0.25">
      <c r="A1191" t="str">
        <f t="shared" si="57"/>
        <v>31103</v>
      </c>
      <c r="B1191" t="s">
        <v>2113</v>
      </c>
      <c r="C1191" t="s">
        <v>2124</v>
      </c>
      <c r="D1191" t="str">
        <f>"4159"</f>
        <v>4159</v>
      </c>
      <c r="E1191" t="s">
        <v>818</v>
      </c>
    </row>
    <row r="1192" spans="1:5" x14ac:dyDescent="0.25">
      <c r="A1192" t="str">
        <f t="shared" si="57"/>
        <v>31103</v>
      </c>
      <c r="B1192" t="s">
        <v>2113</v>
      </c>
      <c r="C1192" t="s">
        <v>2125</v>
      </c>
      <c r="D1192" t="str">
        <f>"5154"</f>
        <v>5154</v>
      </c>
      <c r="E1192" t="s">
        <v>824</v>
      </c>
    </row>
    <row r="1193" spans="1:5" x14ac:dyDescent="0.25">
      <c r="A1193" t="str">
        <f t="shared" si="57"/>
        <v>31103</v>
      </c>
      <c r="B1193" t="s">
        <v>2113</v>
      </c>
      <c r="C1193" t="s">
        <v>2126</v>
      </c>
      <c r="D1193" t="str">
        <f>"1777"</f>
        <v>1777</v>
      </c>
      <c r="E1193" t="s">
        <v>821</v>
      </c>
    </row>
    <row r="1194" spans="1:5" x14ac:dyDescent="0.25">
      <c r="A1194" t="str">
        <f t="shared" si="57"/>
        <v>31103</v>
      </c>
      <c r="B1194" t="s">
        <v>2113</v>
      </c>
      <c r="C1194" t="s">
        <v>2127</v>
      </c>
      <c r="D1194" t="str">
        <f>"1883"</f>
        <v>1883</v>
      </c>
      <c r="E1194" t="s">
        <v>824</v>
      </c>
    </row>
    <row r="1195" spans="1:5" x14ac:dyDescent="0.25">
      <c r="A1195" t="str">
        <f>"14066"</f>
        <v>14066</v>
      </c>
      <c r="B1195" t="s">
        <v>2128</v>
      </c>
      <c r="C1195" t="s">
        <v>2129</v>
      </c>
      <c r="D1195" t="str">
        <f>"3661"</f>
        <v>3661</v>
      </c>
      <c r="E1195" t="s">
        <v>818</v>
      </c>
    </row>
    <row r="1196" spans="1:5" x14ac:dyDescent="0.25">
      <c r="A1196" t="str">
        <f>"14066"</f>
        <v>14066</v>
      </c>
      <c r="B1196" t="s">
        <v>2128</v>
      </c>
      <c r="C1196" t="s">
        <v>2130</v>
      </c>
      <c r="D1196" t="str">
        <f>"2180"</f>
        <v>2180</v>
      </c>
      <c r="E1196" t="s">
        <v>821</v>
      </c>
    </row>
    <row r="1197" spans="1:5" x14ac:dyDescent="0.25">
      <c r="A1197" t="str">
        <f>"14066"</f>
        <v>14066</v>
      </c>
      <c r="B1197" t="s">
        <v>2128</v>
      </c>
      <c r="C1197" t="s">
        <v>2131</v>
      </c>
      <c r="D1197" t="str">
        <f>"3374"</f>
        <v>3374</v>
      </c>
      <c r="E1197" t="s">
        <v>818</v>
      </c>
    </row>
    <row r="1198" spans="1:5" x14ac:dyDescent="0.25">
      <c r="A1198" t="str">
        <f>"21214"</f>
        <v>21214</v>
      </c>
      <c r="B1198" t="s">
        <v>2132</v>
      </c>
      <c r="C1198" t="s">
        <v>2133</v>
      </c>
      <c r="D1198" t="str">
        <f>"2678"</f>
        <v>2678</v>
      </c>
      <c r="E1198" t="s">
        <v>818</v>
      </c>
    </row>
    <row r="1199" spans="1:5" x14ac:dyDescent="0.25">
      <c r="A1199" t="str">
        <f>"21214"</f>
        <v>21214</v>
      </c>
      <c r="B1199" t="s">
        <v>2132</v>
      </c>
      <c r="C1199" t="s">
        <v>2134</v>
      </c>
      <c r="D1199" t="str">
        <f>"3112"</f>
        <v>3112</v>
      </c>
      <c r="E1199" t="s">
        <v>821</v>
      </c>
    </row>
    <row r="1200" spans="1:5" x14ac:dyDescent="0.25">
      <c r="A1200" t="str">
        <f t="shared" ref="A1200:A1215" si="58">"13161"</f>
        <v>13161</v>
      </c>
      <c r="B1200" t="s">
        <v>2135</v>
      </c>
      <c r="C1200" t="s">
        <v>2136</v>
      </c>
      <c r="D1200" t="str">
        <f>"3022"</f>
        <v>3022</v>
      </c>
      <c r="E1200" t="s">
        <v>830</v>
      </c>
    </row>
    <row r="1201" spans="1:5" x14ac:dyDescent="0.25">
      <c r="A1201" t="str">
        <f t="shared" si="58"/>
        <v>13161</v>
      </c>
      <c r="B1201" t="s">
        <v>2135</v>
      </c>
      <c r="C1201" t="s">
        <v>2137</v>
      </c>
      <c r="D1201" t="str">
        <f>"5273"</f>
        <v>5273</v>
      </c>
      <c r="E1201" t="s">
        <v>824</v>
      </c>
    </row>
    <row r="1202" spans="1:5" x14ac:dyDescent="0.25">
      <c r="A1202" t="str">
        <f t="shared" si="58"/>
        <v>13161</v>
      </c>
      <c r="B1202" t="s">
        <v>2135</v>
      </c>
      <c r="C1202" t="s">
        <v>2138</v>
      </c>
      <c r="D1202" t="str">
        <f>"5354"</f>
        <v>5354</v>
      </c>
      <c r="E1202" t="s">
        <v>830</v>
      </c>
    </row>
    <row r="1203" spans="1:5" x14ac:dyDescent="0.25">
      <c r="A1203" t="str">
        <f t="shared" si="58"/>
        <v>13161</v>
      </c>
      <c r="B1203" t="s">
        <v>2135</v>
      </c>
      <c r="C1203" t="s">
        <v>1001</v>
      </c>
      <c r="D1203" t="str">
        <f>"2673"</f>
        <v>2673</v>
      </c>
      <c r="E1203" t="s">
        <v>830</v>
      </c>
    </row>
    <row r="1204" spans="1:5" x14ac:dyDescent="0.25">
      <c r="A1204" t="str">
        <f t="shared" si="58"/>
        <v>13161</v>
      </c>
      <c r="B1204" t="s">
        <v>2135</v>
      </c>
      <c r="C1204" t="s">
        <v>2139</v>
      </c>
      <c r="D1204" t="str">
        <f>"3091"</f>
        <v>3091</v>
      </c>
      <c r="E1204" t="s">
        <v>818</v>
      </c>
    </row>
    <row r="1205" spans="1:5" x14ac:dyDescent="0.25">
      <c r="A1205" t="str">
        <f t="shared" si="58"/>
        <v>13161</v>
      </c>
      <c r="B1205" t="s">
        <v>2135</v>
      </c>
      <c r="C1205" t="s">
        <v>2140</v>
      </c>
      <c r="D1205" t="str">
        <f>"2833"</f>
        <v>2833</v>
      </c>
      <c r="E1205" t="s">
        <v>818</v>
      </c>
    </row>
    <row r="1206" spans="1:5" x14ac:dyDescent="0.25">
      <c r="A1206" t="str">
        <f t="shared" si="58"/>
        <v>13161</v>
      </c>
      <c r="B1206" t="s">
        <v>2135</v>
      </c>
      <c r="C1206" t="s">
        <v>2141</v>
      </c>
      <c r="D1206" t="str">
        <f>"2969"</f>
        <v>2969</v>
      </c>
      <c r="E1206" t="s">
        <v>818</v>
      </c>
    </row>
    <row r="1207" spans="1:5" x14ac:dyDescent="0.25">
      <c r="A1207" t="str">
        <f t="shared" si="58"/>
        <v>13161</v>
      </c>
      <c r="B1207" t="s">
        <v>2135</v>
      </c>
      <c r="C1207" t="s">
        <v>2142</v>
      </c>
      <c r="D1207" t="str">
        <f>"3021"</f>
        <v>3021</v>
      </c>
      <c r="E1207" t="s">
        <v>818</v>
      </c>
    </row>
    <row r="1208" spans="1:5" x14ac:dyDescent="0.25">
      <c r="A1208" t="str">
        <f t="shared" si="58"/>
        <v>13161</v>
      </c>
      <c r="B1208" t="s">
        <v>2135</v>
      </c>
      <c r="C1208" t="s">
        <v>2143</v>
      </c>
      <c r="D1208" t="str">
        <f>"3153"</f>
        <v>3153</v>
      </c>
      <c r="E1208" t="s">
        <v>818</v>
      </c>
    </row>
    <row r="1209" spans="1:5" x14ac:dyDescent="0.25">
      <c r="A1209" t="str">
        <f t="shared" si="58"/>
        <v>13161</v>
      </c>
      <c r="B1209" t="s">
        <v>2135</v>
      </c>
      <c r="C1209" t="s">
        <v>1703</v>
      </c>
      <c r="D1209" t="str">
        <f>"2970"</f>
        <v>2970</v>
      </c>
      <c r="E1209" t="s">
        <v>818</v>
      </c>
    </row>
    <row r="1210" spans="1:5" x14ac:dyDescent="0.25">
      <c r="A1210" t="str">
        <f t="shared" si="58"/>
        <v>13161</v>
      </c>
      <c r="B1210" t="s">
        <v>2135</v>
      </c>
      <c r="C1210" t="s">
        <v>2144</v>
      </c>
      <c r="D1210" t="str">
        <f>"3215"</f>
        <v>3215</v>
      </c>
      <c r="E1210" t="s">
        <v>824</v>
      </c>
    </row>
    <row r="1211" spans="1:5" x14ac:dyDescent="0.25">
      <c r="A1211" t="str">
        <f t="shared" si="58"/>
        <v>13161</v>
      </c>
      <c r="B1211" t="s">
        <v>2135</v>
      </c>
      <c r="C1211" t="s">
        <v>2145</v>
      </c>
      <c r="D1211" t="str">
        <f>"3779"</f>
        <v>3779</v>
      </c>
      <c r="E1211" t="s">
        <v>818</v>
      </c>
    </row>
    <row r="1212" spans="1:5" x14ac:dyDescent="0.25">
      <c r="A1212" t="str">
        <f t="shared" si="58"/>
        <v>13161</v>
      </c>
      <c r="B1212" t="s">
        <v>2135</v>
      </c>
      <c r="C1212" t="s">
        <v>2146</v>
      </c>
      <c r="D1212" t="str">
        <f>"5251"</f>
        <v>5251</v>
      </c>
      <c r="E1212" t="s">
        <v>818</v>
      </c>
    </row>
    <row r="1213" spans="1:5" x14ac:dyDescent="0.25">
      <c r="A1213" t="str">
        <f t="shared" si="58"/>
        <v>13161</v>
      </c>
      <c r="B1213" t="s">
        <v>2135</v>
      </c>
      <c r="C1213" t="s">
        <v>2147</v>
      </c>
      <c r="D1213" t="str">
        <f>"2832"</f>
        <v>2832</v>
      </c>
      <c r="E1213" t="s">
        <v>818</v>
      </c>
    </row>
    <row r="1214" spans="1:5" x14ac:dyDescent="0.25">
      <c r="A1214" t="str">
        <f t="shared" si="58"/>
        <v>13161</v>
      </c>
      <c r="B1214" t="s">
        <v>2135</v>
      </c>
      <c r="C1214" t="s">
        <v>2148</v>
      </c>
      <c r="D1214" t="str">
        <f>"5173"</f>
        <v>5173</v>
      </c>
      <c r="E1214" t="s">
        <v>818</v>
      </c>
    </row>
    <row r="1215" spans="1:5" x14ac:dyDescent="0.25">
      <c r="A1215" t="str">
        <f t="shared" si="58"/>
        <v>13161</v>
      </c>
      <c r="B1215" t="s">
        <v>2135</v>
      </c>
      <c r="C1215" t="s">
        <v>2149</v>
      </c>
      <c r="D1215" t="str">
        <f>"5323"</f>
        <v>5323</v>
      </c>
      <c r="E1215" t="s">
        <v>824</v>
      </c>
    </row>
    <row r="1216" spans="1:5" x14ac:dyDescent="0.25">
      <c r="A1216" t="str">
        <f>"21206"</f>
        <v>21206</v>
      </c>
      <c r="B1216" t="s">
        <v>2150</v>
      </c>
      <c r="C1216" t="s">
        <v>2151</v>
      </c>
      <c r="D1216" t="str">
        <f>"5415"</f>
        <v>5415</v>
      </c>
      <c r="E1216" t="s">
        <v>821</v>
      </c>
    </row>
    <row r="1217" spans="1:5" x14ac:dyDescent="0.25">
      <c r="A1217" t="str">
        <f>"21206"</f>
        <v>21206</v>
      </c>
      <c r="B1217" t="s">
        <v>2150</v>
      </c>
      <c r="C1217" t="s">
        <v>2152</v>
      </c>
      <c r="D1217" t="str">
        <f>"2572"</f>
        <v>2572</v>
      </c>
      <c r="E1217" t="s">
        <v>818</v>
      </c>
    </row>
    <row r="1218" spans="1:5" x14ac:dyDescent="0.25">
      <c r="A1218" t="str">
        <f>"21206"</f>
        <v>21206</v>
      </c>
      <c r="B1218" t="s">
        <v>2150</v>
      </c>
      <c r="C1218" t="s">
        <v>2153</v>
      </c>
      <c r="D1218" t="str">
        <f>"3238"</f>
        <v>3238</v>
      </c>
      <c r="E1218" t="s">
        <v>821</v>
      </c>
    </row>
    <row r="1219" spans="1:5" x14ac:dyDescent="0.25">
      <c r="A1219" t="str">
        <f>"39209"</f>
        <v>39209</v>
      </c>
      <c r="B1219" t="s">
        <v>2154</v>
      </c>
      <c r="C1219" t="s">
        <v>2155</v>
      </c>
      <c r="D1219" t="str">
        <f>"2506"</f>
        <v>2506</v>
      </c>
      <c r="E1219" t="s">
        <v>818</v>
      </c>
    </row>
    <row r="1220" spans="1:5" x14ac:dyDescent="0.25">
      <c r="A1220" t="str">
        <f>"39209"</f>
        <v>39209</v>
      </c>
      <c r="B1220" t="s">
        <v>2154</v>
      </c>
      <c r="C1220" t="s">
        <v>2156</v>
      </c>
      <c r="D1220" t="str">
        <f>"2389"</f>
        <v>2389</v>
      </c>
      <c r="E1220" t="s">
        <v>830</v>
      </c>
    </row>
    <row r="1221" spans="1:5" x14ac:dyDescent="0.25">
      <c r="A1221" t="str">
        <f>"39209"</f>
        <v>39209</v>
      </c>
      <c r="B1221" t="s">
        <v>2154</v>
      </c>
      <c r="C1221" t="s">
        <v>2157</v>
      </c>
      <c r="D1221" t="str">
        <f>"2532"</f>
        <v>2532</v>
      </c>
      <c r="E1221" t="s">
        <v>824</v>
      </c>
    </row>
    <row r="1222" spans="1:5" x14ac:dyDescent="0.25">
      <c r="A1222" t="str">
        <f t="shared" ref="A1222:A1228" si="59">"37507"</f>
        <v>37507</v>
      </c>
      <c r="B1222" t="s">
        <v>2158</v>
      </c>
      <c r="C1222" t="s">
        <v>2159</v>
      </c>
      <c r="D1222" t="str">
        <f>"2585"</f>
        <v>2585</v>
      </c>
      <c r="E1222" t="s">
        <v>818</v>
      </c>
    </row>
    <row r="1223" spans="1:5" x14ac:dyDescent="0.25">
      <c r="A1223" t="str">
        <f t="shared" si="59"/>
        <v>37507</v>
      </c>
      <c r="B1223" t="s">
        <v>2158</v>
      </c>
      <c r="C1223" t="s">
        <v>2160</v>
      </c>
      <c r="D1223" t="str">
        <f>"1936"</f>
        <v>1936</v>
      </c>
      <c r="E1223" t="s">
        <v>826</v>
      </c>
    </row>
    <row r="1224" spans="1:5" x14ac:dyDescent="0.25">
      <c r="A1224" t="str">
        <f t="shared" si="59"/>
        <v>37507</v>
      </c>
      <c r="B1224" t="s">
        <v>2158</v>
      </c>
      <c r="C1224" t="s">
        <v>2161</v>
      </c>
      <c r="D1224" t="str">
        <f>"3365"</f>
        <v>3365</v>
      </c>
      <c r="E1224" t="s">
        <v>818</v>
      </c>
    </row>
    <row r="1225" spans="1:5" x14ac:dyDescent="0.25">
      <c r="A1225" t="str">
        <f t="shared" si="59"/>
        <v>37507</v>
      </c>
      <c r="B1225" t="s">
        <v>2158</v>
      </c>
      <c r="C1225" t="s">
        <v>2162</v>
      </c>
      <c r="D1225" t="str">
        <f>"4533"</f>
        <v>4533</v>
      </c>
      <c r="E1225" t="s">
        <v>818</v>
      </c>
    </row>
    <row r="1226" spans="1:5" x14ac:dyDescent="0.25">
      <c r="A1226" t="str">
        <f t="shared" si="59"/>
        <v>37507</v>
      </c>
      <c r="B1226" t="s">
        <v>2158</v>
      </c>
      <c r="C1226" t="s">
        <v>2163</v>
      </c>
      <c r="D1226" t="str">
        <f>"5112"</f>
        <v>5112</v>
      </c>
      <c r="E1226" t="s">
        <v>859</v>
      </c>
    </row>
    <row r="1227" spans="1:5" x14ac:dyDescent="0.25">
      <c r="A1227" t="str">
        <f t="shared" si="59"/>
        <v>37507</v>
      </c>
      <c r="B1227" t="s">
        <v>2158</v>
      </c>
      <c r="C1227" t="s">
        <v>2164</v>
      </c>
      <c r="D1227" t="str">
        <f>"3003"</f>
        <v>3003</v>
      </c>
      <c r="E1227" t="s">
        <v>830</v>
      </c>
    </row>
    <row r="1228" spans="1:5" x14ac:dyDescent="0.25">
      <c r="A1228" t="str">
        <f t="shared" si="59"/>
        <v>37507</v>
      </c>
      <c r="B1228" t="s">
        <v>2158</v>
      </c>
      <c r="C1228" t="s">
        <v>2165</v>
      </c>
      <c r="D1228" t="str">
        <f>"2343"</f>
        <v>2343</v>
      </c>
      <c r="E1228" t="s">
        <v>824</v>
      </c>
    </row>
    <row r="1229" spans="1:5" x14ac:dyDescent="0.25">
      <c r="A1229" t="str">
        <f>"30029"</f>
        <v>30029</v>
      </c>
      <c r="B1229" t="s">
        <v>2166</v>
      </c>
      <c r="C1229" t="s">
        <v>2167</v>
      </c>
      <c r="D1229" t="str">
        <f>"3459"</f>
        <v>3459</v>
      </c>
      <c r="E1229" t="s">
        <v>821</v>
      </c>
    </row>
    <row r="1230" spans="1:5" x14ac:dyDescent="0.25">
      <c r="A1230" t="str">
        <f t="shared" ref="A1230:A1242" si="60">"29320"</f>
        <v>29320</v>
      </c>
      <c r="B1230" t="s">
        <v>2168</v>
      </c>
      <c r="C1230" t="s">
        <v>2169</v>
      </c>
      <c r="D1230" t="str">
        <f>"4329"</f>
        <v>4329</v>
      </c>
      <c r="E1230" t="s">
        <v>818</v>
      </c>
    </row>
    <row r="1231" spans="1:5" x14ac:dyDescent="0.25">
      <c r="A1231" t="str">
        <f t="shared" si="60"/>
        <v>29320</v>
      </c>
      <c r="B1231" t="s">
        <v>2168</v>
      </c>
      <c r="C1231" t="s">
        <v>1484</v>
      </c>
      <c r="D1231" t="str">
        <f>"3183"</f>
        <v>3183</v>
      </c>
      <c r="E1231" t="s">
        <v>818</v>
      </c>
    </row>
    <row r="1232" spans="1:5" x14ac:dyDescent="0.25">
      <c r="A1232" t="str">
        <f t="shared" si="60"/>
        <v>29320</v>
      </c>
      <c r="B1232" t="s">
        <v>2168</v>
      </c>
      <c r="C1232" t="s">
        <v>2170</v>
      </c>
      <c r="D1232" t="str">
        <f>"3821"</f>
        <v>3821</v>
      </c>
      <c r="E1232" t="s">
        <v>830</v>
      </c>
    </row>
    <row r="1233" spans="1:5" x14ac:dyDescent="0.25">
      <c r="A1233" t="str">
        <f t="shared" si="60"/>
        <v>29320</v>
      </c>
      <c r="B1233" t="s">
        <v>2168</v>
      </c>
      <c r="C1233" t="s">
        <v>1808</v>
      </c>
      <c r="D1233" t="str">
        <f>"2579"</f>
        <v>2579</v>
      </c>
      <c r="E1233" t="s">
        <v>818</v>
      </c>
    </row>
    <row r="1234" spans="1:5" x14ac:dyDescent="0.25">
      <c r="A1234" t="str">
        <f t="shared" si="60"/>
        <v>29320</v>
      </c>
      <c r="B1234" t="s">
        <v>2168</v>
      </c>
      <c r="C1234" t="s">
        <v>2171</v>
      </c>
      <c r="D1234" t="str">
        <f>"4013"</f>
        <v>4013</v>
      </c>
      <c r="E1234" t="s">
        <v>818</v>
      </c>
    </row>
    <row r="1235" spans="1:5" x14ac:dyDescent="0.25">
      <c r="A1235" t="str">
        <f t="shared" si="60"/>
        <v>29320</v>
      </c>
      <c r="B1235" t="s">
        <v>2168</v>
      </c>
      <c r="C1235" t="s">
        <v>1486</v>
      </c>
      <c r="D1235" t="str">
        <f>"3001"</f>
        <v>3001</v>
      </c>
      <c r="E1235" t="s">
        <v>818</v>
      </c>
    </row>
    <row r="1236" spans="1:5" x14ac:dyDescent="0.25">
      <c r="A1236" t="str">
        <f t="shared" si="60"/>
        <v>29320</v>
      </c>
      <c r="B1236" t="s">
        <v>2168</v>
      </c>
      <c r="C1236" t="s">
        <v>2172</v>
      </c>
      <c r="D1236" t="str">
        <f>"4511"</f>
        <v>4511</v>
      </c>
      <c r="E1236" t="s">
        <v>830</v>
      </c>
    </row>
    <row r="1237" spans="1:5" x14ac:dyDescent="0.25">
      <c r="A1237" t="str">
        <f t="shared" si="60"/>
        <v>29320</v>
      </c>
      <c r="B1237" t="s">
        <v>2168</v>
      </c>
      <c r="C1237" t="s">
        <v>2173</v>
      </c>
      <c r="D1237" t="str">
        <f>"2295"</f>
        <v>2295</v>
      </c>
      <c r="E1237" t="s">
        <v>824</v>
      </c>
    </row>
    <row r="1238" spans="1:5" x14ac:dyDescent="0.25">
      <c r="A1238" t="str">
        <f t="shared" si="60"/>
        <v>29320</v>
      </c>
      <c r="B1238" t="s">
        <v>2168</v>
      </c>
      <c r="C1238" t="s">
        <v>2174</v>
      </c>
      <c r="D1238" t="str">
        <f>"5449"</f>
        <v>5449</v>
      </c>
      <c r="E1238" t="s">
        <v>824</v>
      </c>
    </row>
    <row r="1239" spans="1:5" x14ac:dyDescent="0.25">
      <c r="A1239" t="str">
        <f t="shared" si="60"/>
        <v>29320</v>
      </c>
      <c r="B1239" t="s">
        <v>2168</v>
      </c>
      <c r="C1239" t="s">
        <v>2175</v>
      </c>
      <c r="D1239" t="str">
        <f>"3829"</f>
        <v>3829</v>
      </c>
      <c r="E1239" t="s">
        <v>851</v>
      </c>
    </row>
    <row r="1240" spans="1:5" x14ac:dyDescent="0.25">
      <c r="A1240" t="str">
        <f t="shared" si="60"/>
        <v>29320</v>
      </c>
      <c r="B1240" t="s">
        <v>2168</v>
      </c>
      <c r="C1240" t="s">
        <v>2176</v>
      </c>
      <c r="D1240" t="str">
        <f>"5960"</f>
        <v>5960</v>
      </c>
      <c r="E1240" t="s">
        <v>824</v>
      </c>
    </row>
    <row r="1241" spans="1:5" x14ac:dyDescent="0.25">
      <c r="A1241" t="str">
        <f t="shared" si="60"/>
        <v>29320</v>
      </c>
      <c r="B1241" t="s">
        <v>2168</v>
      </c>
      <c r="C1241" t="s">
        <v>2177</v>
      </c>
      <c r="D1241" t="str">
        <f>"1992"</f>
        <v>1992</v>
      </c>
      <c r="E1241" t="s">
        <v>859</v>
      </c>
    </row>
    <row r="1242" spans="1:5" x14ac:dyDescent="0.25">
      <c r="A1242" t="str">
        <f t="shared" si="60"/>
        <v>29320</v>
      </c>
      <c r="B1242" t="s">
        <v>2168</v>
      </c>
      <c r="C1242" t="s">
        <v>887</v>
      </c>
      <c r="D1242" t="str">
        <f>"2880"</f>
        <v>2880</v>
      </c>
      <c r="E1242" t="s">
        <v>818</v>
      </c>
    </row>
    <row r="1243" spans="1:5" x14ac:dyDescent="0.25">
      <c r="A1243" t="str">
        <f>"17903"</f>
        <v>17903</v>
      </c>
      <c r="B1243" t="s">
        <v>2178</v>
      </c>
      <c r="C1243" t="s">
        <v>2179</v>
      </c>
      <c r="D1243" t="str">
        <f>"1986"</f>
        <v>1986</v>
      </c>
      <c r="E1243" t="s">
        <v>824</v>
      </c>
    </row>
    <row r="1244" spans="1:5" x14ac:dyDescent="0.25">
      <c r="A1244" t="str">
        <f t="shared" ref="A1244:A1267" si="61">"31006"</f>
        <v>31006</v>
      </c>
      <c r="B1244" t="s">
        <v>2180</v>
      </c>
      <c r="C1244" t="s">
        <v>2181</v>
      </c>
      <c r="D1244" t="str">
        <f>"4247"</f>
        <v>4247</v>
      </c>
      <c r="E1244" t="s">
        <v>824</v>
      </c>
    </row>
    <row r="1245" spans="1:5" x14ac:dyDescent="0.25">
      <c r="A1245" t="str">
        <f t="shared" si="61"/>
        <v>31006</v>
      </c>
      <c r="B1245" t="s">
        <v>2180</v>
      </c>
      <c r="C1245" t="s">
        <v>1747</v>
      </c>
      <c r="D1245" t="str">
        <f>"4303"</f>
        <v>4303</v>
      </c>
      <c r="E1245" t="s">
        <v>818</v>
      </c>
    </row>
    <row r="1246" spans="1:5" x14ac:dyDescent="0.25">
      <c r="A1246" t="str">
        <f t="shared" si="61"/>
        <v>31006</v>
      </c>
      <c r="B1246" t="s">
        <v>2180</v>
      </c>
      <c r="C1246" t="s">
        <v>1269</v>
      </c>
      <c r="D1246" t="str">
        <f>"4342"</f>
        <v>4342</v>
      </c>
      <c r="E1246" t="s">
        <v>818</v>
      </c>
    </row>
    <row r="1247" spans="1:5" x14ac:dyDescent="0.25">
      <c r="A1247" t="str">
        <f t="shared" si="61"/>
        <v>31006</v>
      </c>
      <c r="B1247" t="s">
        <v>2180</v>
      </c>
      <c r="C1247" t="s">
        <v>1751</v>
      </c>
      <c r="D1247" t="str">
        <f>"4304"</f>
        <v>4304</v>
      </c>
      <c r="E1247" t="s">
        <v>818</v>
      </c>
    </row>
    <row r="1248" spans="1:5" x14ac:dyDescent="0.25">
      <c r="A1248" t="str">
        <f t="shared" si="61"/>
        <v>31006</v>
      </c>
      <c r="B1248" t="s">
        <v>2180</v>
      </c>
      <c r="C1248" t="s">
        <v>2052</v>
      </c>
      <c r="D1248" t="str">
        <f>"1960"</f>
        <v>1960</v>
      </c>
      <c r="E1248" t="s">
        <v>826</v>
      </c>
    </row>
    <row r="1249" spans="1:5" x14ac:dyDescent="0.25">
      <c r="A1249" t="str">
        <f t="shared" si="61"/>
        <v>31006</v>
      </c>
      <c r="B1249" t="s">
        <v>2180</v>
      </c>
      <c r="C1249" t="s">
        <v>2182</v>
      </c>
      <c r="D1249" t="str">
        <f>"4469"</f>
        <v>4469</v>
      </c>
      <c r="E1249" t="s">
        <v>818</v>
      </c>
    </row>
    <row r="1250" spans="1:5" x14ac:dyDescent="0.25">
      <c r="A1250" t="str">
        <f t="shared" si="61"/>
        <v>31006</v>
      </c>
      <c r="B1250" t="s">
        <v>2180</v>
      </c>
      <c r="C1250" t="s">
        <v>2183</v>
      </c>
      <c r="D1250" t="str">
        <f>"4231"</f>
        <v>4231</v>
      </c>
      <c r="E1250" t="s">
        <v>830</v>
      </c>
    </row>
    <row r="1251" spans="1:5" x14ac:dyDescent="0.25">
      <c r="A1251" t="str">
        <f t="shared" si="61"/>
        <v>31006</v>
      </c>
      <c r="B1251" t="s">
        <v>2180</v>
      </c>
      <c r="C1251" t="s">
        <v>2184</v>
      </c>
      <c r="D1251" t="str">
        <f>"2886"</f>
        <v>2886</v>
      </c>
      <c r="E1251" t="s">
        <v>818</v>
      </c>
    </row>
    <row r="1252" spans="1:5" x14ac:dyDescent="0.25">
      <c r="A1252" t="str">
        <f t="shared" si="61"/>
        <v>31006</v>
      </c>
      <c r="B1252" t="s">
        <v>2180</v>
      </c>
      <c r="C1252" t="s">
        <v>2185</v>
      </c>
      <c r="D1252" t="str">
        <f>"4430"</f>
        <v>4430</v>
      </c>
      <c r="E1252" t="s">
        <v>830</v>
      </c>
    </row>
    <row r="1253" spans="1:5" x14ac:dyDescent="0.25">
      <c r="A1253" t="str">
        <f t="shared" si="61"/>
        <v>31006</v>
      </c>
      <c r="B1253" t="s">
        <v>2180</v>
      </c>
      <c r="C1253" t="s">
        <v>2186</v>
      </c>
      <c r="D1253" t="str">
        <f>"4344"</f>
        <v>4344</v>
      </c>
      <c r="E1253" t="s">
        <v>818</v>
      </c>
    </row>
    <row r="1254" spans="1:5" x14ac:dyDescent="0.25">
      <c r="A1254" t="str">
        <f t="shared" si="61"/>
        <v>31006</v>
      </c>
      <c r="B1254" t="s">
        <v>2180</v>
      </c>
      <c r="C1254" t="s">
        <v>2187</v>
      </c>
      <c r="D1254" t="str">
        <f>"4433"</f>
        <v>4433</v>
      </c>
      <c r="E1254" t="s">
        <v>824</v>
      </c>
    </row>
    <row r="1255" spans="1:5" x14ac:dyDescent="0.25">
      <c r="A1255" t="str">
        <f t="shared" si="61"/>
        <v>31006</v>
      </c>
      <c r="B1255" t="s">
        <v>2180</v>
      </c>
      <c r="C1255" t="s">
        <v>2188</v>
      </c>
      <c r="D1255" t="str">
        <f>"5450"</f>
        <v>5450</v>
      </c>
      <c r="E1255" t="s">
        <v>818</v>
      </c>
    </row>
    <row r="1256" spans="1:5" x14ac:dyDescent="0.25">
      <c r="A1256" t="str">
        <f t="shared" si="61"/>
        <v>31006</v>
      </c>
      <c r="B1256" t="s">
        <v>2180</v>
      </c>
      <c r="C1256" t="s">
        <v>2189</v>
      </c>
      <c r="D1256" t="str">
        <f>"3688"</f>
        <v>3688</v>
      </c>
      <c r="E1256" t="s">
        <v>824</v>
      </c>
    </row>
    <row r="1257" spans="1:5" x14ac:dyDescent="0.25">
      <c r="A1257" t="str">
        <f t="shared" si="61"/>
        <v>31006</v>
      </c>
      <c r="B1257" t="s">
        <v>2180</v>
      </c>
      <c r="C1257" t="s">
        <v>2190</v>
      </c>
      <c r="D1257" t="str">
        <f>"4164"</f>
        <v>4164</v>
      </c>
      <c r="E1257" t="s">
        <v>818</v>
      </c>
    </row>
    <row r="1258" spans="1:5" x14ac:dyDescent="0.25">
      <c r="A1258" t="str">
        <f t="shared" si="61"/>
        <v>31006</v>
      </c>
      <c r="B1258" t="s">
        <v>2180</v>
      </c>
      <c r="C1258" t="s">
        <v>2191</v>
      </c>
      <c r="D1258" t="str">
        <f>"5498"</f>
        <v>5498</v>
      </c>
      <c r="E1258" t="s">
        <v>824</v>
      </c>
    </row>
    <row r="1259" spans="1:5" x14ac:dyDescent="0.25">
      <c r="A1259" t="str">
        <f t="shared" si="61"/>
        <v>31006</v>
      </c>
      <c r="B1259" t="s">
        <v>2180</v>
      </c>
      <c r="C1259" t="s">
        <v>2192</v>
      </c>
      <c r="D1259" t="str">
        <f>"4583"</f>
        <v>4583</v>
      </c>
      <c r="E1259" t="s">
        <v>818</v>
      </c>
    </row>
    <row r="1260" spans="1:5" x14ac:dyDescent="0.25">
      <c r="A1260" t="str">
        <f t="shared" si="61"/>
        <v>31006</v>
      </c>
      <c r="B1260" t="s">
        <v>2180</v>
      </c>
      <c r="C1260" t="s">
        <v>2193</v>
      </c>
      <c r="D1260" t="str">
        <f>"3121"</f>
        <v>3121</v>
      </c>
      <c r="E1260" t="s">
        <v>818</v>
      </c>
    </row>
    <row r="1261" spans="1:5" x14ac:dyDescent="0.25">
      <c r="A1261" t="str">
        <f t="shared" si="61"/>
        <v>31006</v>
      </c>
      <c r="B1261" t="s">
        <v>2180</v>
      </c>
      <c r="C1261" t="s">
        <v>2194</v>
      </c>
      <c r="D1261" t="str">
        <f>"3120"</f>
        <v>3120</v>
      </c>
      <c r="E1261" t="s">
        <v>830</v>
      </c>
    </row>
    <row r="1262" spans="1:5" x14ac:dyDescent="0.25">
      <c r="A1262" t="str">
        <f t="shared" si="61"/>
        <v>31006</v>
      </c>
      <c r="B1262" t="s">
        <v>2180</v>
      </c>
      <c r="C1262" t="s">
        <v>2195</v>
      </c>
      <c r="D1262" t="str">
        <f>"5482"</f>
        <v>5482</v>
      </c>
      <c r="E1262" t="s">
        <v>818</v>
      </c>
    </row>
    <row r="1263" spans="1:5" x14ac:dyDescent="0.25">
      <c r="A1263" t="str">
        <f t="shared" si="61"/>
        <v>31006</v>
      </c>
      <c r="B1263" t="s">
        <v>2180</v>
      </c>
      <c r="C1263" t="s">
        <v>2196</v>
      </c>
      <c r="D1263" t="str">
        <f>"4165"</f>
        <v>4165</v>
      </c>
      <c r="E1263" t="s">
        <v>818</v>
      </c>
    </row>
    <row r="1264" spans="1:5" x14ac:dyDescent="0.25">
      <c r="A1264" t="str">
        <f t="shared" si="61"/>
        <v>31006</v>
      </c>
      <c r="B1264" t="s">
        <v>2180</v>
      </c>
      <c r="C1264" t="s">
        <v>2197</v>
      </c>
      <c r="D1264" t="str">
        <f>"3687"</f>
        <v>3687</v>
      </c>
      <c r="E1264" t="s">
        <v>818</v>
      </c>
    </row>
    <row r="1265" spans="1:5" x14ac:dyDescent="0.25">
      <c r="A1265" t="str">
        <f t="shared" si="61"/>
        <v>31006</v>
      </c>
      <c r="B1265" t="s">
        <v>2180</v>
      </c>
      <c r="C1265" t="s">
        <v>2198</v>
      </c>
      <c r="D1265" t="str">
        <f>"4019"</f>
        <v>4019</v>
      </c>
      <c r="E1265" t="s">
        <v>824</v>
      </c>
    </row>
    <row r="1266" spans="1:5" x14ac:dyDescent="0.25">
      <c r="A1266" t="str">
        <f t="shared" si="61"/>
        <v>31006</v>
      </c>
      <c r="B1266" t="s">
        <v>2180</v>
      </c>
      <c r="C1266" t="s">
        <v>1042</v>
      </c>
      <c r="D1266" t="str">
        <f>"1848"</f>
        <v>1848</v>
      </c>
      <c r="E1266" t="s">
        <v>851</v>
      </c>
    </row>
    <row r="1267" spans="1:5" x14ac:dyDescent="0.25">
      <c r="A1267" t="str">
        <f t="shared" si="61"/>
        <v>31006</v>
      </c>
      <c r="B1267" t="s">
        <v>2180</v>
      </c>
      <c r="C1267" t="s">
        <v>2199</v>
      </c>
      <c r="D1267" t="str">
        <f>"4425"</f>
        <v>4425</v>
      </c>
      <c r="E1267" t="s">
        <v>830</v>
      </c>
    </row>
    <row r="1268" spans="1:5" x14ac:dyDescent="0.25">
      <c r="A1268" t="str">
        <f>"39003"</f>
        <v>39003</v>
      </c>
      <c r="B1268" t="s">
        <v>2200</v>
      </c>
      <c r="C1268" t="s">
        <v>2201</v>
      </c>
      <c r="D1268" t="str">
        <f>"5451"</f>
        <v>5451</v>
      </c>
      <c r="E1268" t="s">
        <v>818</v>
      </c>
    </row>
    <row r="1269" spans="1:5" x14ac:dyDescent="0.25">
      <c r="A1269" t="str">
        <f>"39003"</f>
        <v>39003</v>
      </c>
      <c r="B1269" t="s">
        <v>2200</v>
      </c>
      <c r="C1269" t="s">
        <v>2202</v>
      </c>
      <c r="D1269" t="str">
        <f>"2591"</f>
        <v>2591</v>
      </c>
      <c r="E1269" t="s">
        <v>824</v>
      </c>
    </row>
    <row r="1270" spans="1:5" x14ac:dyDescent="0.25">
      <c r="A1270" t="str">
        <f>"39003"</f>
        <v>39003</v>
      </c>
      <c r="B1270" t="s">
        <v>2200</v>
      </c>
      <c r="C1270" t="s">
        <v>2203</v>
      </c>
      <c r="D1270" t="str">
        <f>"2898"</f>
        <v>2898</v>
      </c>
      <c r="E1270" t="s">
        <v>830</v>
      </c>
    </row>
    <row r="1271" spans="1:5" x14ac:dyDescent="0.25">
      <c r="A1271" t="str">
        <f>"21014"</f>
        <v>21014</v>
      </c>
      <c r="B1271" t="s">
        <v>2204</v>
      </c>
      <c r="C1271" t="s">
        <v>2205</v>
      </c>
      <c r="D1271" t="str">
        <f>"3288"</f>
        <v>3288</v>
      </c>
      <c r="E1271" t="s">
        <v>818</v>
      </c>
    </row>
    <row r="1272" spans="1:5" x14ac:dyDescent="0.25">
      <c r="A1272" t="str">
        <f>"21014"</f>
        <v>21014</v>
      </c>
      <c r="B1272" t="s">
        <v>2204</v>
      </c>
      <c r="C1272" t="s">
        <v>2206</v>
      </c>
      <c r="D1272" t="str">
        <f>"2273"</f>
        <v>2273</v>
      </c>
      <c r="E1272" t="s">
        <v>821</v>
      </c>
    </row>
    <row r="1273" spans="1:5" x14ac:dyDescent="0.25">
      <c r="A1273" t="str">
        <f>"25155"</f>
        <v>25155</v>
      </c>
      <c r="B1273" t="s">
        <v>2207</v>
      </c>
      <c r="C1273" t="s">
        <v>2208</v>
      </c>
      <c r="D1273" t="str">
        <f>"2868"</f>
        <v>2868</v>
      </c>
      <c r="E1273" t="s">
        <v>818</v>
      </c>
    </row>
    <row r="1274" spans="1:5" x14ac:dyDescent="0.25">
      <c r="A1274" t="str">
        <f>"25155"</f>
        <v>25155</v>
      </c>
      <c r="B1274" t="s">
        <v>2207</v>
      </c>
      <c r="C1274" t="s">
        <v>2209</v>
      </c>
      <c r="D1274" t="str">
        <f>"3295"</f>
        <v>3295</v>
      </c>
      <c r="E1274" t="s">
        <v>821</v>
      </c>
    </row>
    <row r="1275" spans="1:5" x14ac:dyDescent="0.25">
      <c r="A1275" t="str">
        <f>"25155"</f>
        <v>25155</v>
      </c>
      <c r="B1275" t="s">
        <v>2207</v>
      </c>
      <c r="C1275" t="s">
        <v>2210</v>
      </c>
      <c r="D1275" t="str">
        <f>"3599"</f>
        <v>3599</v>
      </c>
      <c r="E1275" t="s">
        <v>824</v>
      </c>
    </row>
    <row r="1276" spans="1:5" x14ac:dyDescent="0.25">
      <c r="A1276" t="str">
        <f>"24014"</f>
        <v>24014</v>
      </c>
      <c r="B1276" t="s">
        <v>2211</v>
      </c>
      <c r="C1276" t="s">
        <v>2212</v>
      </c>
      <c r="D1276" t="str">
        <f>"2494"</f>
        <v>2494</v>
      </c>
      <c r="E1276" t="s">
        <v>821</v>
      </c>
    </row>
    <row r="1277" spans="1:5" x14ac:dyDescent="0.25">
      <c r="A1277" t="str">
        <f>"26056"</f>
        <v>26056</v>
      </c>
      <c r="B1277" t="s">
        <v>2213</v>
      </c>
      <c r="C1277" t="s">
        <v>2214</v>
      </c>
      <c r="D1277" t="str">
        <f>"2518"</f>
        <v>2518</v>
      </c>
      <c r="E1277" t="s">
        <v>824</v>
      </c>
    </row>
    <row r="1278" spans="1:5" x14ac:dyDescent="0.25">
      <c r="A1278" t="str">
        <f>"26056"</f>
        <v>26056</v>
      </c>
      <c r="B1278" t="s">
        <v>2213</v>
      </c>
      <c r="C1278" t="s">
        <v>2215</v>
      </c>
      <c r="D1278" t="str">
        <f>"5118"</f>
        <v>5118</v>
      </c>
      <c r="E1278" t="s">
        <v>824</v>
      </c>
    </row>
    <row r="1279" spans="1:5" x14ac:dyDescent="0.25">
      <c r="A1279" t="str">
        <f>"26056"</f>
        <v>26056</v>
      </c>
      <c r="B1279" t="s">
        <v>2213</v>
      </c>
      <c r="C1279" t="s">
        <v>2216</v>
      </c>
      <c r="D1279" t="str">
        <f>"3968"</f>
        <v>3968</v>
      </c>
      <c r="E1279" t="s">
        <v>830</v>
      </c>
    </row>
    <row r="1280" spans="1:5" x14ac:dyDescent="0.25">
      <c r="A1280" t="str">
        <f>"26056"</f>
        <v>26056</v>
      </c>
      <c r="B1280" t="s">
        <v>2213</v>
      </c>
      <c r="C1280" t="s">
        <v>2217</v>
      </c>
      <c r="D1280" t="str">
        <f>"4478"</f>
        <v>4478</v>
      </c>
      <c r="E1280" t="s">
        <v>818</v>
      </c>
    </row>
    <row r="1281" spans="1:5" x14ac:dyDescent="0.25">
      <c r="A1281" t="str">
        <f>"32325"</f>
        <v>32325</v>
      </c>
      <c r="B1281" t="s">
        <v>2218</v>
      </c>
      <c r="C1281" t="s">
        <v>2219</v>
      </c>
      <c r="D1281" t="str">
        <f>"4036"</f>
        <v>4036</v>
      </c>
      <c r="E1281" t="s">
        <v>818</v>
      </c>
    </row>
    <row r="1282" spans="1:5" x14ac:dyDescent="0.25">
      <c r="A1282" t="str">
        <f>"32325"</f>
        <v>32325</v>
      </c>
      <c r="B1282" t="s">
        <v>2218</v>
      </c>
      <c r="C1282" t="s">
        <v>2220</v>
      </c>
      <c r="D1282" t="str">
        <f>"4333"</f>
        <v>4333</v>
      </c>
      <c r="E1282" t="s">
        <v>824</v>
      </c>
    </row>
    <row r="1283" spans="1:5" x14ac:dyDescent="0.25">
      <c r="A1283" t="str">
        <f>"32325"</f>
        <v>32325</v>
      </c>
      <c r="B1283" t="s">
        <v>2218</v>
      </c>
      <c r="C1283" t="s">
        <v>2221</v>
      </c>
      <c r="D1283" t="str">
        <f>"4521"</f>
        <v>4521</v>
      </c>
      <c r="E1283" t="s">
        <v>830</v>
      </c>
    </row>
    <row r="1284" spans="1:5" x14ac:dyDescent="0.25">
      <c r="A1284" t="str">
        <f>"32325"</f>
        <v>32325</v>
      </c>
      <c r="B1284" t="s">
        <v>2218</v>
      </c>
      <c r="C1284" t="s">
        <v>2222</v>
      </c>
      <c r="D1284" t="str">
        <f>"2341"</f>
        <v>2341</v>
      </c>
      <c r="E1284" t="s">
        <v>818</v>
      </c>
    </row>
    <row r="1285" spans="1:5" x14ac:dyDescent="0.25">
      <c r="A1285" t="str">
        <f>"32325"</f>
        <v>32325</v>
      </c>
      <c r="B1285" t="s">
        <v>2218</v>
      </c>
      <c r="C1285" t="s">
        <v>2223</v>
      </c>
      <c r="D1285" t="str">
        <f>"5417"</f>
        <v>5417</v>
      </c>
      <c r="E1285" t="s">
        <v>824</v>
      </c>
    </row>
    <row r="1286" spans="1:5" x14ac:dyDescent="0.25">
      <c r="A1286" t="str">
        <f t="shared" ref="A1286:A1291" si="62">"37506"</f>
        <v>37506</v>
      </c>
      <c r="B1286" t="s">
        <v>2224</v>
      </c>
      <c r="C1286" t="s">
        <v>2225</v>
      </c>
      <c r="D1286" t="str">
        <f>"4428"</f>
        <v>4428</v>
      </c>
      <c r="E1286" t="s">
        <v>818</v>
      </c>
    </row>
    <row r="1287" spans="1:5" x14ac:dyDescent="0.25">
      <c r="A1287" t="str">
        <f t="shared" si="62"/>
        <v>37506</v>
      </c>
      <c r="B1287" t="s">
        <v>2224</v>
      </c>
      <c r="C1287" t="s">
        <v>2226</v>
      </c>
      <c r="D1287" t="str">
        <f>"4525"</f>
        <v>4525</v>
      </c>
      <c r="E1287" t="s">
        <v>818</v>
      </c>
    </row>
    <row r="1288" spans="1:5" x14ac:dyDescent="0.25">
      <c r="A1288" t="str">
        <f t="shared" si="62"/>
        <v>37506</v>
      </c>
      <c r="B1288" t="s">
        <v>2224</v>
      </c>
      <c r="C1288" t="s">
        <v>2227</v>
      </c>
      <c r="D1288" t="str">
        <f>"2459"</f>
        <v>2459</v>
      </c>
      <c r="E1288" t="s">
        <v>821</v>
      </c>
    </row>
    <row r="1289" spans="1:5" x14ac:dyDescent="0.25">
      <c r="A1289" t="str">
        <f t="shared" si="62"/>
        <v>37506</v>
      </c>
      <c r="B1289" t="s">
        <v>2224</v>
      </c>
      <c r="C1289" t="s">
        <v>2228</v>
      </c>
      <c r="D1289" t="str">
        <f>"2687"</f>
        <v>2687</v>
      </c>
      <c r="E1289" t="s">
        <v>830</v>
      </c>
    </row>
    <row r="1290" spans="1:5" x14ac:dyDescent="0.25">
      <c r="A1290" t="str">
        <f t="shared" si="62"/>
        <v>37506</v>
      </c>
      <c r="B1290" t="s">
        <v>2224</v>
      </c>
      <c r="C1290" t="s">
        <v>2229</v>
      </c>
      <c r="D1290" t="str">
        <f>"1823"</f>
        <v>1823</v>
      </c>
      <c r="E1290" t="s">
        <v>826</v>
      </c>
    </row>
    <row r="1291" spans="1:5" x14ac:dyDescent="0.25">
      <c r="A1291" t="str">
        <f t="shared" si="62"/>
        <v>37506</v>
      </c>
      <c r="B1291" t="s">
        <v>2224</v>
      </c>
      <c r="C1291" t="s">
        <v>2230</v>
      </c>
      <c r="D1291" t="str">
        <f>"2489"</f>
        <v>2489</v>
      </c>
      <c r="E1291" t="s">
        <v>818</v>
      </c>
    </row>
    <row r="1292" spans="1:5" x14ac:dyDescent="0.25">
      <c r="A1292" t="str">
        <f>"14064"</f>
        <v>14064</v>
      </c>
      <c r="B1292" t="s">
        <v>2231</v>
      </c>
      <c r="C1292" t="s">
        <v>2232</v>
      </c>
      <c r="D1292" t="str">
        <f>"3788"</f>
        <v>3788</v>
      </c>
      <c r="E1292" t="s">
        <v>830</v>
      </c>
    </row>
    <row r="1293" spans="1:5" x14ac:dyDescent="0.25">
      <c r="A1293" t="str">
        <f>"14064"</f>
        <v>14064</v>
      </c>
      <c r="B1293" t="s">
        <v>2231</v>
      </c>
      <c r="C1293" t="s">
        <v>2233</v>
      </c>
      <c r="D1293" t="str">
        <f>"2728"</f>
        <v>2728</v>
      </c>
      <c r="E1293" t="s">
        <v>824</v>
      </c>
    </row>
    <row r="1294" spans="1:5" x14ac:dyDescent="0.25">
      <c r="A1294" t="str">
        <f>"14064"</f>
        <v>14064</v>
      </c>
      <c r="B1294" t="s">
        <v>2231</v>
      </c>
      <c r="C1294" t="s">
        <v>2234</v>
      </c>
      <c r="D1294" t="str">
        <f>"3787"</f>
        <v>3787</v>
      </c>
      <c r="E1294" t="s">
        <v>818</v>
      </c>
    </row>
    <row r="1295" spans="1:5" x14ac:dyDescent="0.25">
      <c r="A1295" t="str">
        <f>"14064"</f>
        <v>14064</v>
      </c>
      <c r="B1295" t="s">
        <v>2231</v>
      </c>
      <c r="C1295" t="s">
        <v>2235</v>
      </c>
      <c r="D1295" t="str">
        <f>"3155"</f>
        <v>3155</v>
      </c>
      <c r="E1295" t="s">
        <v>818</v>
      </c>
    </row>
    <row r="1296" spans="1:5" x14ac:dyDescent="0.25">
      <c r="A1296" t="str">
        <f t="shared" ref="A1296:A1304" si="63">"11051"</f>
        <v>11051</v>
      </c>
      <c r="B1296" t="s">
        <v>2236</v>
      </c>
      <c r="C1296" t="s">
        <v>2237</v>
      </c>
      <c r="D1296" t="str">
        <f>"3325"</f>
        <v>3325</v>
      </c>
      <c r="E1296" t="s">
        <v>818</v>
      </c>
    </row>
    <row r="1297" spans="1:5" x14ac:dyDescent="0.25">
      <c r="A1297" t="str">
        <f t="shared" si="63"/>
        <v>11051</v>
      </c>
      <c r="B1297" t="s">
        <v>2236</v>
      </c>
      <c r="C1297" t="s">
        <v>2238</v>
      </c>
      <c r="D1297" t="str">
        <f>"2918"</f>
        <v>2918</v>
      </c>
      <c r="E1297" t="s">
        <v>818</v>
      </c>
    </row>
    <row r="1298" spans="1:5" x14ac:dyDescent="0.25">
      <c r="A1298" t="str">
        <f t="shared" si="63"/>
        <v>11051</v>
      </c>
      <c r="B1298" t="s">
        <v>2236</v>
      </c>
      <c r="C1298" t="s">
        <v>2239</v>
      </c>
      <c r="D1298" t="str">
        <f>"3272"</f>
        <v>3272</v>
      </c>
      <c r="E1298" t="s">
        <v>824</v>
      </c>
    </row>
    <row r="1299" spans="1:5" x14ac:dyDescent="0.25">
      <c r="A1299" t="str">
        <f t="shared" si="63"/>
        <v>11051</v>
      </c>
      <c r="B1299" t="s">
        <v>2236</v>
      </c>
      <c r="C1299" t="s">
        <v>2240</v>
      </c>
      <c r="D1299" t="str">
        <f>"1889"</f>
        <v>1889</v>
      </c>
      <c r="E1299" t="s">
        <v>826</v>
      </c>
    </row>
    <row r="1300" spans="1:5" x14ac:dyDescent="0.25">
      <c r="A1300" t="str">
        <f t="shared" si="63"/>
        <v>11051</v>
      </c>
      <c r="B1300" t="s">
        <v>2236</v>
      </c>
      <c r="C1300" t="s">
        <v>2241</v>
      </c>
      <c r="D1300" t="str">
        <f>"5499"</f>
        <v>5499</v>
      </c>
      <c r="E1300" t="s">
        <v>824</v>
      </c>
    </row>
    <row r="1301" spans="1:5" x14ac:dyDescent="0.25">
      <c r="A1301" t="str">
        <f t="shared" si="63"/>
        <v>11051</v>
      </c>
      <c r="B1301" t="s">
        <v>2236</v>
      </c>
      <c r="C1301" t="s">
        <v>2242</v>
      </c>
      <c r="D1301" t="str">
        <f>"3086"</f>
        <v>3086</v>
      </c>
      <c r="E1301" t="s">
        <v>818</v>
      </c>
    </row>
    <row r="1302" spans="1:5" x14ac:dyDescent="0.25">
      <c r="A1302" t="str">
        <f t="shared" si="63"/>
        <v>11051</v>
      </c>
      <c r="B1302" t="s">
        <v>2236</v>
      </c>
      <c r="C1302" t="s">
        <v>2243</v>
      </c>
      <c r="D1302" t="str">
        <f>"5261"</f>
        <v>5261</v>
      </c>
      <c r="E1302" t="s">
        <v>818</v>
      </c>
    </row>
    <row r="1303" spans="1:5" x14ac:dyDescent="0.25">
      <c r="A1303" t="str">
        <f t="shared" si="63"/>
        <v>11051</v>
      </c>
      <c r="B1303" t="s">
        <v>2236</v>
      </c>
      <c r="C1303" t="s">
        <v>2244</v>
      </c>
      <c r="D1303" t="str">
        <f>"1754"</f>
        <v>1754</v>
      </c>
      <c r="E1303" t="s">
        <v>824</v>
      </c>
    </row>
    <row r="1304" spans="1:5" x14ac:dyDescent="0.25">
      <c r="A1304" t="str">
        <f t="shared" si="63"/>
        <v>11051</v>
      </c>
      <c r="B1304" t="s">
        <v>2236</v>
      </c>
      <c r="C1304" t="s">
        <v>2245</v>
      </c>
      <c r="D1304" t="str">
        <f>"2198"</f>
        <v>2198</v>
      </c>
      <c r="E1304" t="s">
        <v>830</v>
      </c>
    </row>
    <row r="1305" spans="1:5" x14ac:dyDescent="0.25">
      <c r="A1305" t="str">
        <f t="shared" ref="A1305:A1318" si="64">"18400"</f>
        <v>18400</v>
      </c>
      <c r="B1305" t="s">
        <v>2246</v>
      </c>
      <c r="C1305" t="s">
        <v>2247</v>
      </c>
      <c r="D1305" t="str">
        <f>"5546"</f>
        <v>5546</v>
      </c>
      <c r="E1305" t="s">
        <v>824</v>
      </c>
    </row>
    <row r="1306" spans="1:5" x14ac:dyDescent="0.25">
      <c r="A1306" t="str">
        <f t="shared" si="64"/>
        <v>18400</v>
      </c>
      <c r="B1306" t="s">
        <v>2246</v>
      </c>
      <c r="C1306" t="s">
        <v>2248</v>
      </c>
      <c r="D1306" t="str">
        <f>"2798"</f>
        <v>2798</v>
      </c>
      <c r="E1306" t="s">
        <v>818</v>
      </c>
    </row>
    <row r="1307" spans="1:5" x14ac:dyDescent="0.25">
      <c r="A1307" t="str">
        <f t="shared" si="64"/>
        <v>18400</v>
      </c>
      <c r="B1307" t="s">
        <v>2246</v>
      </c>
      <c r="C1307" t="s">
        <v>2249</v>
      </c>
      <c r="D1307" t="str">
        <f>"2854"</f>
        <v>2854</v>
      </c>
      <c r="E1307" t="s">
        <v>818</v>
      </c>
    </row>
    <row r="1308" spans="1:5" x14ac:dyDescent="0.25">
      <c r="A1308" t="str">
        <f t="shared" si="64"/>
        <v>18400</v>
      </c>
      <c r="B1308" t="s">
        <v>2246</v>
      </c>
      <c r="C1308" t="s">
        <v>2250</v>
      </c>
      <c r="D1308" t="str">
        <f>"5085"</f>
        <v>5085</v>
      </c>
      <c r="E1308" t="s">
        <v>824</v>
      </c>
    </row>
    <row r="1309" spans="1:5" x14ac:dyDescent="0.25">
      <c r="A1309" t="str">
        <f t="shared" si="64"/>
        <v>18400</v>
      </c>
      <c r="B1309" t="s">
        <v>2246</v>
      </c>
      <c r="C1309" t="s">
        <v>2251</v>
      </c>
      <c r="D1309" t="str">
        <f>"4359"</f>
        <v>4359</v>
      </c>
      <c r="E1309" t="s">
        <v>1006</v>
      </c>
    </row>
    <row r="1310" spans="1:5" x14ac:dyDescent="0.25">
      <c r="A1310" t="str">
        <f t="shared" si="64"/>
        <v>18400</v>
      </c>
      <c r="B1310" t="s">
        <v>2246</v>
      </c>
      <c r="C1310" t="s">
        <v>2252</v>
      </c>
      <c r="D1310" t="str">
        <f>"3126"</f>
        <v>3126</v>
      </c>
      <c r="E1310" t="s">
        <v>830</v>
      </c>
    </row>
    <row r="1311" spans="1:5" x14ac:dyDescent="0.25">
      <c r="A1311" t="str">
        <f t="shared" si="64"/>
        <v>18400</v>
      </c>
      <c r="B1311" t="s">
        <v>2246</v>
      </c>
      <c r="C1311" t="s">
        <v>2253</v>
      </c>
      <c r="D1311" t="str">
        <f>"3236"</f>
        <v>3236</v>
      </c>
      <c r="E1311" t="s">
        <v>824</v>
      </c>
    </row>
    <row r="1312" spans="1:5" x14ac:dyDescent="0.25">
      <c r="A1312" t="str">
        <f t="shared" si="64"/>
        <v>18400</v>
      </c>
      <c r="B1312" t="s">
        <v>2246</v>
      </c>
      <c r="C1312" t="s">
        <v>2254</v>
      </c>
      <c r="D1312" t="str">
        <f>"1733"</f>
        <v>1733</v>
      </c>
      <c r="E1312" t="s">
        <v>859</v>
      </c>
    </row>
    <row r="1313" spans="1:5" x14ac:dyDescent="0.25">
      <c r="A1313" t="str">
        <f t="shared" si="64"/>
        <v>18400</v>
      </c>
      <c r="B1313" t="s">
        <v>2246</v>
      </c>
      <c r="C1313" t="s">
        <v>2255</v>
      </c>
      <c r="D1313" t="str">
        <f>"2026"</f>
        <v>2026</v>
      </c>
      <c r="E1313" t="s">
        <v>818</v>
      </c>
    </row>
    <row r="1314" spans="1:5" x14ac:dyDescent="0.25">
      <c r="A1314" t="str">
        <f t="shared" si="64"/>
        <v>18400</v>
      </c>
      <c r="B1314" t="s">
        <v>2246</v>
      </c>
      <c r="C1314" t="s">
        <v>2256</v>
      </c>
      <c r="D1314" t="str">
        <f>"2476"</f>
        <v>2476</v>
      </c>
      <c r="E1314" t="s">
        <v>830</v>
      </c>
    </row>
    <row r="1315" spans="1:5" x14ac:dyDescent="0.25">
      <c r="A1315" t="str">
        <f t="shared" si="64"/>
        <v>18400</v>
      </c>
      <c r="B1315" t="s">
        <v>2246</v>
      </c>
      <c r="C1315" t="s">
        <v>2257</v>
      </c>
      <c r="D1315" t="str">
        <f>"4467"</f>
        <v>4467</v>
      </c>
      <c r="E1315" t="s">
        <v>818</v>
      </c>
    </row>
    <row r="1316" spans="1:5" x14ac:dyDescent="0.25">
      <c r="A1316" t="str">
        <f t="shared" si="64"/>
        <v>18400</v>
      </c>
      <c r="B1316" t="s">
        <v>2246</v>
      </c>
      <c r="C1316" t="s">
        <v>2258</v>
      </c>
      <c r="D1316" t="str">
        <f>"1677"</f>
        <v>1677</v>
      </c>
      <c r="E1316" t="s">
        <v>851</v>
      </c>
    </row>
    <row r="1317" spans="1:5" x14ac:dyDescent="0.25">
      <c r="A1317" t="str">
        <f t="shared" si="64"/>
        <v>18400</v>
      </c>
      <c r="B1317" t="s">
        <v>2246</v>
      </c>
      <c r="C1317" t="s">
        <v>2259</v>
      </c>
      <c r="D1317" t="str">
        <f>"3391"</f>
        <v>3391</v>
      </c>
      <c r="E1317" t="s">
        <v>818</v>
      </c>
    </row>
    <row r="1318" spans="1:5" x14ac:dyDescent="0.25">
      <c r="A1318" t="str">
        <f t="shared" si="64"/>
        <v>18400</v>
      </c>
      <c r="B1318" t="s">
        <v>2246</v>
      </c>
      <c r="C1318" t="s">
        <v>2260</v>
      </c>
      <c r="D1318" t="str">
        <f>"4461"</f>
        <v>4461</v>
      </c>
      <c r="E1318" t="s">
        <v>818</v>
      </c>
    </row>
    <row r="1319" spans="1:5" x14ac:dyDescent="0.25">
      <c r="A1319" t="str">
        <f t="shared" ref="A1319:A1325" si="65">"23403"</f>
        <v>23403</v>
      </c>
      <c r="B1319" t="s">
        <v>2261</v>
      </c>
      <c r="C1319" t="s">
        <v>2262</v>
      </c>
      <c r="D1319" t="str">
        <f>"2662"</f>
        <v>2662</v>
      </c>
      <c r="E1319" t="s">
        <v>818</v>
      </c>
    </row>
    <row r="1320" spans="1:5" x14ac:dyDescent="0.25">
      <c r="A1320" t="str">
        <f t="shared" si="65"/>
        <v>23403</v>
      </c>
      <c r="B1320" t="s">
        <v>2261</v>
      </c>
      <c r="C1320" t="s">
        <v>2263</v>
      </c>
      <c r="D1320" t="str">
        <f>"3174"</f>
        <v>3174</v>
      </c>
      <c r="E1320" t="s">
        <v>830</v>
      </c>
    </row>
    <row r="1321" spans="1:5" x14ac:dyDescent="0.25">
      <c r="A1321" t="str">
        <f t="shared" si="65"/>
        <v>23403</v>
      </c>
      <c r="B1321" t="s">
        <v>2261</v>
      </c>
      <c r="C1321" t="s">
        <v>2264</v>
      </c>
      <c r="D1321" t="str">
        <f>"1680"</f>
        <v>1680</v>
      </c>
      <c r="E1321" t="s">
        <v>824</v>
      </c>
    </row>
    <row r="1322" spans="1:5" x14ac:dyDescent="0.25">
      <c r="A1322" t="str">
        <f t="shared" si="65"/>
        <v>23403</v>
      </c>
      <c r="B1322" t="s">
        <v>2261</v>
      </c>
      <c r="C1322" t="s">
        <v>2265</v>
      </c>
      <c r="D1322" t="str">
        <f>"5513"</f>
        <v>5513</v>
      </c>
      <c r="E1322" t="s">
        <v>826</v>
      </c>
    </row>
    <row r="1323" spans="1:5" x14ac:dyDescent="0.25">
      <c r="A1323" t="str">
        <f t="shared" si="65"/>
        <v>23403</v>
      </c>
      <c r="B1323" t="s">
        <v>2261</v>
      </c>
      <c r="C1323" t="s">
        <v>2266</v>
      </c>
      <c r="D1323" t="str">
        <f>"1861"</f>
        <v>1861</v>
      </c>
      <c r="E1323" t="s">
        <v>859</v>
      </c>
    </row>
    <row r="1324" spans="1:5" x14ac:dyDescent="0.25">
      <c r="A1324" t="str">
        <f t="shared" si="65"/>
        <v>23403</v>
      </c>
      <c r="B1324" t="s">
        <v>2261</v>
      </c>
      <c r="C1324" t="s">
        <v>2267</v>
      </c>
      <c r="D1324" t="str">
        <f>"3175"</f>
        <v>3175</v>
      </c>
      <c r="E1324" t="s">
        <v>824</v>
      </c>
    </row>
    <row r="1325" spans="1:5" x14ac:dyDescent="0.25">
      <c r="A1325" t="str">
        <f t="shared" si="65"/>
        <v>23403</v>
      </c>
      <c r="B1325" t="s">
        <v>2261</v>
      </c>
      <c r="C1325" t="s">
        <v>2268</v>
      </c>
      <c r="D1325" t="str">
        <f>"4320"</f>
        <v>4320</v>
      </c>
      <c r="E1325" t="s">
        <v>818</v>
      </c>
    </row>
    <row r="1326" spans="1:5" x14ac:dyDescent="0.25">
      <c r="A1326" t="str">
        <f>"25200"</f>
        <v>25200</v>
      </c>
      <c r="B1326" t="s">
        <v>2269</v>
      </c>
      <c r="C1326" t="s">
        <v>2270</v>
      </c>
      <c r="D1326" t="str">
        <f>"2292"</f>
        <v>2292</v>
      </c>
      <c r="E1326" t="s">
        <v>851</v>
      </c>
    </row>
    <row r="1327" spans="1:5" x14ac:dyDescent="0.25">
      <c r="A1327" t="str">
        <f t="shared" ref="A1327:A1348" si="66">"34003"</f>
        <v>34003</v>
      </c>
      <c r="B1327" t="s">
        <v>2271</v>
      </c>
      <c r="C1327" t="s">
        <v>2272</v>
      </c>
      <c r="D1327" t="str">
        <f>"5168"</f>
        <v>5168</v>
      </c>
      <c r="E1327" t="s">
        <v>830</v>
      </c>
    </row>
    <row r="1328" spans="1:5" x14ac:dyDescent="0.25">
      <c r="A1328" t="str">
        <f t="shared" si="66"/>
        <v>34003</v>
      </c>
      <c r="B1328" t="s">
        <v>2271</v>
      </c>
      <c r="C1328" t="s">
        <v>2273</v>
      </c>
      <c r="D1328" t="str">
        <f>"5167"</f>
        <v>5167</v>
      </c>
      <c r="E1328" t="s">
        <v>818</v>
      </c>
    </row>
    <row r="1329" spans="1:5" x14ac:dyDescent="0.25">
      <c r="A1329" t="str">
        <f t="shared" si="66"/>
        <v>34003</v>
      </c>
      <c r="B1329" t="s">
        <v>2271</v>
      </c>
      <c r="C1329" t="s">
        <v>932</v>
      </c>
      <c r="D1329" t="str">
        <f>"3361"</f>
        <v>3361</v>
      </c>
      <c r="E1329" t="s">
        <v>830</v>
      </c>
    </row>
    <row r="1330" spans="1:5" x14ac:dyDescent="0.25">
      <c r="A1330" t="str">
        <f t="shared" si="66"/>
        <v>34003</v>
      </c>
      <c r="B1330" t="s">
        <v>2271</v>
      </c>
      <c r="C1330" t="s">
        <v>2274</v>
      </c>
      <c r="D1330" t="str">
        <f>"4058"</f>
        <v>4058</v>
      </c>
      <c r="E1330" t="s">
        <v>818</v>
      </c>
    </row>
    <row r="1331" spans="1:5" x14ac:dyDescent="0.25">
      <c r="A1331" t="str">
        <f t="shared" si="66"/>
        <v>34003</v>
      </c>
      <c r="B1331" t="s">
        <v>2271</v>
      </c>
      <c r="C1331" t="s">
        <v>2275</v>
      </c>
      <c r="D1331" t="str">
        <f>"4408"</f>
        <v>4408</v>
      </c>
      <c r="E1331" t="s">
        <v>818</v>
      </c>
    </row>
    <row r="1332" spans="1:5" x14ac:dyDescent="0.25">
      <c r="A1332" t="str">
        <f t="shared" si="66"/>
        <v>34003</v>
      </c>
      <c r="B1332" t="s">
        <v>2271</v>
      </c>
      <c r="C1332" t="s">
        <v>2276</v>
      </c>
      <c r="D1332" t="str">
        <f>"4409"</f>
        <v>4409</v>
      </c>
      <c r="E1332" t="s">
        <v>830</v>
      </c>
    </row>
    <row r="1333" spans="1:5" x14ac:dyDescent="0.25">
      <c r="A1333" t="str">
        <f t="shared" si="66"/>
        <v>34003</v>
      </c>
      <c r="B1333" t="s">
        <v>2271</v>
      </c>
      <c r="C1333" t="s">
        <v>2277</v>
      </c>
      <c r="D1333" t="str">
        <f>"3653"</f>
        <v>3653</v>
      </c>
      <c r="E1333" t="s">
        <v>818</v>
      </c>
    </row>
    <row r="1334" spans="1:5" x14ac:dyDescent="0.25">
      <c r="A1334" t="str">
        <f t="shared" si="66"/>
        <v>34003</v>
      </c>
      <c r="B1334" t="s">
        <v>2271</v>
      </c>
      <c r="C1334" t="s">
        <v>2278</v>
      </c>
      <c r="D1334" t="str">
        <f>"3539"</f>
        <v>3539</v>
      </c>
      <c r="E1334" t="s">
        <v>818</v>
      </c>
    </row>
    <row r="1335" spans="1:5" x14ac:dyDescent="0.25">
      <c r="A1335" t="str">
        <f t="shared" si="66"/>
        <v>34003</v>
      </c>
      <c r="B1335" t="s">
        <v>2271</v>
      </c>
      <c r="C1335" t="s">
        <v>2279</v>
      </c>
      <c r="D1335" t="str">
        <f>"3262"</f>
        <v>3262</v>
      </c>
      <c r="E1335" t="s">
        <v>818</v>
      </c>
    </row>
    <row r="1336" spans="1:5" x14ac:dyDescent="0.25">
      <c r="A1336" t="str">
        <f t="shared" si="66"/>
        <v>34003</v>
      </c>
      <c r="B1336" t="s">
        <v>2271</v>
      </c>
      <c r="C1336" t="s">
        <v>2280</v>
      </c>
      <c r="D1336" t="str">
        <f>"4255"</f>
        <v>4255</v>
      </c>
      <c r="E1336" t="s">
        <v>818</v>
      </c>
    </row>
    <row r="1337" spans="1:5" x14ac:dyDescent="0.25">
      <c r="A1337" t="str">
        <f t="shared" si="66"/>
        <v>34003</v>
      </c>
      <c r="B1337" t="s">
        <v>2271</v>
      </c>
      <c r="C1337" t="s">
        <v>2281</v>
      </c>
      <c r="D1337" t="str">
        <f>"3130"</f>
        <v>3130</v>
      </c>
      <c r="E1337" t="s">
        <v>818</v>
      </c>
    </row>
    <row r="1338" spans="1:5" x14ac:dyDescent="0.25">
      <c r="A1338" t="str">
        <f t="shared" si="66"/>
        <v>34003</v>
      </c>
      <c r="B1338" t="s">
        <v>2271</v>
      </c>
      <c r="C1338" t="s">
        <v>2282</v>
      </c>
      <c r="D1338" t="str">
        <f>"3611"</f>
        <v>3611</v>
      </c>
      <c r="E1338" t="s">
        <v>830</v>
      </c>
    </row>
    <row r="1339" spans="1:5" x14ac:dyDescent="0.25">
      <c r="A1339" t="str">
        <f t="shared" si="66"/>
        <v>34003</v>
      </c>
      <c r="B1339" t="s">
        <v>2271</v>
      </c>
      <c r="C1339" t="s">
        <v>2283</v>
      </c>
      <c r="D1339" t="str">
        <f>"3010"</f>
        <v>3010</v>
      </c>
      <c r="E1339" t="s">
        <v>824</v>
      </c>
    </row>
    <row r="1340" spans="1:5" x14ac:dyDescent="0.25">
      <c r="A1340" t="str">
        <f t="shared" si="66"/>
        <v>34003</v>
      </c>
      <c r="B1340" t="s">
        <v>2271</v>
      </c>
      <c r="C1340" t="s">
        <v>2284</v>
      </c>
      <c r="D1340" t="str">
        <f>"3709"</f>
        <v>3709</v>
      </c>
      <c r="E1340" t="s">
        <v>818</v>
      </c>
    </row>
    <row r="1341" spans="1:5" x14ac:dyDescent="0.25">
      <c r="A1341" t="str">
        <f t="shared" si="66"/>
        <v>34003</v>
      </c>
      <c r="B1341" t="s">
        <v>2271</v>
      </c>
      <c r="C1341" t="s">
        <v>2285</v>
      </c>
      <c r="D1341" t="str">
        <f>"4271"</f>
        <v>4271</v>
      </c>
      <c r="E1341" t="s">
        <v>818</v>
      </c>
    </row>
    <row r="1342" spans="1:5" x14ac:dyDescent="0.25">
      <c r="A1342" t="str">
        <f t="shared" si="66"/>
        <v>34003</v>
      </c>
      <c r="B1342" t="s">
        <v>2271</v>
      </c>
      <c r="C1342" t="s">
        <v>2286</v>
      </c>
      <c r="D1342" t="str">
        <f>"4427"</f>
        <v>4427</v>
      </c>
      <c r="E1342" t="s">
        <v>824</v>
      </c>
    </row>
    <row r="1343" spans="1:5" x14ac:dyDescent="0.25">
      <c r="A1343" t="str">
        <f t="shared" si="66"/>
        <v>34003</v>
      </c>
      <c r="B1343" t="s">
        <v>2271</v>
      </c>
      <c r="C1343" t="s">
        <v>2287</v>
      </c>
      <c r="D1343" t="str">
        <f>"5452"</f>
        <v>5452</v>
      </c>
      <c r="E1343" t="s">
        <v>830</v>
      </c>
    </row>
    <row r="1344" spans="1:5" x14ac:dyDescent="0.25">
      <c r="A1344" t="str">
        <f t="shared" si="66"/>
        <v>34003</v>
      </c>
      <c r="B1344" t="s">
        <v>2271</v>
      </c>
      <c r="C1344" t="s">
        <v>2288</v>
      </c>
      <c r="D1344" t="str">
        <f>"4368"</f>
        <v>4368</v>
      </c>
      <c r="E1344" t="s">
        <v>818</v>
      </c>
    </row>
    <row r="1345" spans="1:5" x14ac:dyDescent="0.25">
      <c r="A1345" t="str">
        <f t="shared" si="66"/>
        <v>34003</v>
      </c>
      <c r="B1345" t="s">
        <v>2271</v>
      </c>
      <c r="C1345" t="s">
        <v>2289</v>
      </c>
      <c r="D1345" t="str">
        <f>"2754"</f>
        <v>2754</v>
      </c>
      <c r="E1345" t="s">
        <v>818</v>
      </c>
    </row>
    <row r="1346" spans="1:5" x14ac:dyDescent="0.25">
      <c r="A1346" t="str">
        <f t="shared" si="66"/>
        <v>34003</v>
      </c>
      <c r="B1346" t="s">
        <v>2271</v>
      </c>
      <c r="C1346" t="s">
        <v>2290</v>
      </c>
      <c r="D1346" t="str">
        <f>"4314"</f>
        <v>4314</v>
      </c>
      <c r="E1346" t="s">
        <v>824</v>
      </c>
    </row>
    <row r="1347" spans="1:5" x14ac:dyDescent="0.25">
      <c r="A1347" t="str">
        <f t="shared" si="66"/>
        <v>34003</v>
      </c>
      <c r="B1347" t="s">
        <v>2271</v>
      </c>
      <c r="C1347" t="s">
        <v>2291</v>
      </c>
      <c r="D1347" t="str">
        <f>"3710"</f>
        <v>3710</v>
      </c>
      <c r="E1347" t="s">
        <v>824</v>
      </c>
    </row>
    <row r="1348" spans="1:5" x14ac:dyDescent="0.25">
      <c r="A1348" t="str">
        <f t="shared" si="66"/>
        <v>34003</v>
      </c>
      <c r="B1348" t="s">
        <v>2271</v>
      </c>
      <c r="C1348" t="s">
        <v>2292</v>
      </c>
      <c r="D1348" t="str">
        <f>"4122"</f>
        <v>4122</v>
      </c>
      <c r="E1348" t="s">
        <v>818</v>
      </c>
    </row>
    <row r="1349" spans="1:5" x14ac:dyDescent="0.25">
      <c r="A1349" t="str">
        <f>"33211"</f>
        <v>33211</v>
      </c>
      <c r="B1349" t="s">
        <v>2293</v>
      </c>
      <c r="C1349" t="s">
        <v>2294</v>
      </c>
      <c r="D1349" t="str">
        <f>"2062"</f>
        <v>2062</v>
      </c>
      <c r="E1349" t="s">
        <v>821</v>
      </c>
    </row>
    <row r="1350" spans="1:5" x14ac:dyDescent="0.25">
      <c r="A1350" t="str">
        <f>"33211"</f>
        <v>33211</v>
      </c>
      <c r="B1350" t="s">
        <v>2293</v>
      </c>
      <c r="C1350" t="s">
        <v>2295</v>
      </c>
      <c r="D1350" t="str">
        <f>"2958"</f>
        <v>2958</v>
      </c>
      <c r="E1350" t="s">
        <v>824</v>
      </c>
    </row>
    <row r="1351" spans="1:5" x14ac:dyDescent="0.25">
      <c r="A1351" t="str">
        <f>"33211"</f>
        <v>33211</v>
      </c>
      <c r="B1351" t="s">
        <v>2293</v>
      </c>
      <c r="C1351" t="s">
        <v>2296</v>
      </c>
      <c r="D1351" t="str">
        <f>"5252"</f>
        <v>5252</v>
      </c>
      <c r="E1351" t="s">
        <v>859</v>
      </c>
    </row>
    <row r="1352" spans="1:5" x14ac:dyDescent="0.25">
      <c r="A1352" t="str">
        <f t="shared" ref="A1352:A1387" si="67">"17417"</f>
        <v>17417</v>
      </c>
      <c r="B1352" t="s">
        <v>2297</v>
      </c>
      <c r="C1352" t="s">
        <v>2298</v>
      </c>
      <c r="D1352" t="str">
        <f>"3107"</f>
        <v>3107</v>
      </c>
      <c r="E1352" t="s">
        <v>818</v>
      </c>
    </row>
    <row r="1353" spans="1:5" x14ac:dyDescent="0.25">
      <c r="A1353" t="str">
        <f t="shared" si="67"/>
        <v>17417</v>
      </c>
      <c r="B1353" t="s">
        <v>2297</v>
      </c>
      <c r="C1353" t="s">
        <v>2299</v>
      </c>
      <c r="D1353" t="str">
        <f>"4305"</f>
        <v>4305</v>
      </c>
      <c r="E1353" t="s">
        <v>818</v>
      </c>
    </row>
    <row r="1354" spans="1:5" x14ac:dyDescent="0.25">
      <c r="A1354" t="str">
        <f t="shared" si="67"/>
        <v>17417</v>
      </c>
      <c r="B1354" t="s">
        <v>2297</v>
      </c>
      <c r="C1354" t="s">
        <v>2300</v>
      </c>
      <c r="D1354" t="str">
        <f>"3106"</f>
        <v>3106</v>
      </c>
      <c r="E1354" t="s">
        <v>824</v>
      </c>
    </row>
    <row r="1355" spans="1:5" x14ac:dyDescent="0.25">
      <c r="A1355" t="str">
        <f t="shared" si="67"/>
        <v>17417</v>
      </c>
      <c r="B1355" t="s">
        <v>2297</v>
      </c>
      <c r="C1355" t="s">
        <v>2301</v>
      </c>
      <c r="D1355" t="str">
        <f>"2493"</f>
        <v>2493</v>
      </c>
      <c r="E1355" t="s">
        <v>818</v>
      </c>
    </row>
    <row r="1356" spans="1:5" x14ac:dyDescent="0.25">
      <c r="A1356" t="str">
        <f t="shared" si="67"/>
        <v>17417</v>
      </c>
      <c r="B1356" t="s">
        <v>2297</v>
      </c>
      <c r="C1356" t="s">
        <v>2302</v>
      </c>
      <c r="D1356" t="str">
        <f>"4017"</f>
        <v>4017</v>
      </c>
      <c r="E1356" t="s">
        <v>818</v>
      </c>
    </row>
    <row r="1357" spans="1:5" x14ac:dyDescent="0.25">
      <c r="A1357" t="str">
        <f t="shared" si="67"/>
        <v>17417</v>
      </c>
      <c r="B1357" t="s">
        <v>2297</v>
      </c>
      <c r="C1357" t="s">
        <v>2303</v>
      </c>
      <c r="D1357" t="str">
        <f>"3493"</f>
        <v>3493</v>
      </c>
      <c r="E1357" t="s">
        <v>830</v>
      </c>
    </row>
    <row r="1358" spans="1:5" x14ac:dyDescent="0.25">
      <c r="A1358" t="str">
        <f t="shared" si="67"/>
        <v>17417</v>
      </c>
      <c r="B1358" t="s">
        <v>2297</v>
      </c>
      <c r="C1358" t="s">
        <v>2304</v>
      </c>
      <c r="D1358" t="str">
        <f>"3234"</f>
        <v>3234</v>
      </c>
      <c r="E1358" t="s">
        <v>818</v>
      </c>
    </row>
    <row r="1359" spans="1:5" x14ac:dyDescent="0.25">
      <c r="A1359" t="str">
        <f t="shared" si="67"/>
        <v>17417</v>
      </c>
      <c r="B1359" t="s">
        <v>2297</v>
      </c>
      <c r="C1359" t="s">
        <v>2305</v>
      </c>
      <c r="D1359" t="str">
        <f>"3105"</f>
        <v>3105</v>
      </c>
      <c r="E1359" t="s">
        <v>818</v>
      </c>
    </row>
    <row r="1360" spans="1:5" x14ac:dyDescent="0.25">
      <c r="A1360" t="str">
        <f t="shared" si="67"/>
        <v>17417</v>
      </c>
      <c r="B1360" t="s">
        <v>2297</v>
      </c>
      <c r="C1360" t="s">
        <v>2306</v>
      </c>
      <c r="D1360" t="str">
        <f>"4379"</f>
        <v>4379</v>
      </c>
      <c r="E1360" t="s">
        <v>818</v>
      </c>
    </row>
    <row r="1361" spans="1:5" x14ac:dyDescent="0.25">
      <c r="A1361" t="str">
        <f t="shared" si="67"/>
        <v>17417</v>
      </c>
      <c r="B1361" t="s">
        <v>2297</v>
      </c>
      <c r="C1361" t="s">
        <v>2307</v>
      </c>
      <c r="D1361" t="str">
        <f>"4306"</f>
        <v>4306</v>
      </c>
      <c r="E1361" t="s">
        <v>818</v>
      </c>
    </row>
    <row r="1362" spans="1:5" x14ac:dyDescent="0.25">
      <c r="A1362" t="str">
        <f t="shared" si="67"/>
        <v>17417</v>
      </c>
      <c r="B1362" t="s">
        <v>2297</v>
      </c>
      <c r="C1362" t="s">
        <v>2308</v>
      </c>
      <c r="D1362" t="str">
        <f>"4355"</f>
        <v>4355</v>
      </c>
      <c r="E1362" t="s">
        <v>818</v>
      </c>
    </row>
    <row r="1363" spans="1:5" x14ac:dyDescent="0.25">
      <c r="A1363" t="str">
        <f t="shared" si="67"/>
        <v>17417</v>
      </c>
      <c r="B1363" t="s">
        <v>2297</v>
      </c>
      <c r="C1363" t="s">
        <v>2309</v>
      </c>
      <c r="D1363" t="str">
        <f>"4124"</f>
        <v>4124</v>
      </c>
      <c r="E1363" t="s">
        <v>818</v>
      </c>
    </row>
    <row r="1364" spans="1:5" x14ac:dyDescent="0.25">
      <c r="A1364" t="str">
        <f t="shared" si="67"/>
        <v>17417</v>
      </c>
      <c r="B1364" t="s">
        <v>2297</v>
      </c>
      <c r="C1364" t="s">
        <v>2310</v>
      </c>
      <c r="D1364" t="str">
        <f>"3492"</f>
        <v>3492</v>
      </c>
      <c r="E1364" t="s">
        <v>824</v>
      </c>
    </row>
    <row r="1365" spans="1:5" x14ac:dyDescent="0.25">
      <c r="A1365" t="str">
        <f t="shared" si="67"/>
        <v>17417</v>
      </c>
      <c r="B1365" t="s">
        <v>2297</v>
      </c>
      <c r="C1365" t="s">
        <v>2311</v>
      </c>
      <c r="D1365" t="str">
        <f>"2993"</f>
        <v>2993</v>
      </c>
      <c r="E1365" t="s">
        <v>818</v>
      </c>
    </row>
    <row r="1366" spans="1:5" x14ac:dyDescent="0.25">
      <c r="A1366" t="str">
        <f t="shared" si="67"/>
        <v>17417</v>
      </c>
      <c r="B1366" t="s">
        <v>2297</v>
      </c>
      <c r="C1366" t="s">
        <v>2312</v>
      </c>
      <c r="D1366" t="str">
        <f>"3345"</f>
        <v>3345</v>
      </c>
      <c r="E1366" t="s">
        <v>830</v>
      </c>
    </row>
    <row r="1367" spans="1:5" x14ac:dyDescent="0.25">
      <c r="A1367" t="str">
        <f t="shared" si="67"/>
        <v>17417</v>
      </c>
      <c r="B1367" t="s">
        <v>2297</v>
      </c>
      <c r="C1367" t="s">
        <v>2313</v>
      </c>
      <c r="D1367" t="str">
        <f>"4455"</f>
        <v>4455</v>
      </c>
      <c r="E1367" t="s">
        <v>818</v>
      </c>
    </row>
    <row r="1368" spans="1:5" x14ac:dyDescent="0.25">
      <c r="A1368" t="str">
        <f t="shared" si="67"/>
        <v>17417</v>
      </c>
      <c r="B1368" t="s">
        <v>2297</v>
      </c>
      <c r="C1368" t="s">
        <v>2314</v>
      </c>
      <c r="D1368" t="str">
        <f>"3790"</f>
        <v>3790</v>
      </c>
      <c r="E1368" t="s">
        <v>830</v>
      </c>
    </row>
    <row r="1369" spans="1:5" x14ac:dyDescent="0.25">
      <c r="A1369" t="str">
        <f t="shared" si="67"/>
        <v>17417</v>
      </c>
      <c r="B1369" t="s">
        <v>2297</v>
      </c>
      <c r="C1369" t="s">
        <v>2315</v>
      </c>
      <c r="D1369" t="str">
        <f>"3390"</f>
        <v>3390</v>
      </c>
      <c r="E1369" t="s">
        <v>818</v>
      </c>
    </row>
    <row r="1370" spans="1:5" x14ac:dyDescent="0.25">
      <c r="A1370" t="str">
        <f t="shared" si="67"/>
        <v>17417</v>
      </c>
      <c r="B1370" t="s">
        <v>2297</v>
      </c>
      <c r="C1370" t="s">
        <v>2316</v>
      </c>
      <c r="D1370" t="str">
        <f>"3344"</f>
        <v>3344</v>
      </c>
      <c r="E1370" t="s">
        <v>818</v>
      </c>
    </row>
    <row r="1371" spans="1:5" x14ac:dyDescent="0.25">
      <c r="A1371" t="str">
        <f t="shared" si="67"/>
        <v>17417</v>
      </c>
      <c r="B1371" t="s">
        <v>2297</v>
      </c>
      <c r="C1371" t="s">
        <v>2317</v>
      </c>
      <c r="D1371" t="str">
        <f>"3442"</f>
        <v>3442</v>
      </c>
      <c r="E1371" t="s">
        <v>818</v>
      </c>
    </row>
    <row r="1372" spans="1:5" x14ac:dyDescent="0.25">
      <c r="A1372" t="str">
        <f t="shared" si="67"/>
        <v>17417</v>
      </c>
      <c r="B1372" t="s">
        <v>2297</v>
      </c>
      <c r="C1372" t="s">
        <v>2318</v>
      </c>
      <c r="D1372" t="str">
        <f>"5481"</f>
        <v>5481</v>
      </c>
      <c r="E1372" t="s">
        <v>824</v>
      </c>
    </row>
    <row r="1373" spans="1:5" x14ac:dyDescent="0.25">
      <c r="A1373" t="str">
        <f t="shared" si="67"/>
        <v>17417</v>
      </c>
      <c r="B1373" t="s">
        <v>2297</v>
      </c>
      <c r="C1373" t="s">
        <v>2319</v>
      </c>
      <c r="D1373" t="str">
        <f>"4021"</f>
        <v>4021</v>
      </c>
      <c r="E1373" t="s">
        <v>830</v>
      </c>
    </row>
    <row r="1374" spans="1:5" x14ac:dyDescent="0.25">
      <c r="A1374" t="str">
        <f t="shared" si="67"/>
        <v>17417</v>
      </c>
      <c r="B1374" t="s">
        <v>2297</v>
      </c>
      <c r="C1374" t="s">
        <v>2320</v>
      </c>
      <c r="D1374" t="str">
        <f>"1814"</f>
        <v>1814</v>
      </c>
      <c r="E1374" t="s">
        <v>859</v>
      </c>
    </row>
    <row r="1375" spans="1:5" x14ac:dyDescent="0.25">
      <c r="A1375" t="str">
        <f t="shared" si="67"/>
        <v>17417</v>
      </c>
      <c r="B1375" t="s">
        <v>2297</v>
      </c>
      <c r="C1375" t="s">
        <v>2321</v>
      </c>
      <c r="D1375" t="str">
        <f>"5331"</f>
        <v>5331</v>
      </c>
      <c r="E1375" t="s">
        <v>824</v>
      </c>
    </row>
    <row r="1376" spans="1:5" x14ac:dyDescent="0.25">
      <c r="A1376" t="str">
        <f t="shared" si="67"/>
        <v>17417</v>
      </c>
      <c r="B1376" t="s">
        <v>2297</v>
      </c>
      <c r="C1376" t="s">
        <v>2322</v>
      </c>
      <c r="D1376" t="str">
        <f>"1815"</f>
        <v>1815</v>
      </c>
      <c r="E1376" t="s">
        <v>851</v>
      </c>
    </row>
    <row r="1377" spans="1:5" x14ac:dyDescent="0.25">
      <c r="A1377" t="str">
        <f t="shared" si="67"/>
        <v>17417</v>
      </c>
      <c r="B1377" t="s">
        <v>2297</v>
      </c>
      <c r="C1377" t="s">
        <v>2323</v>
      </c>
      <c r="D1377" t="str">
        <f>"3811"</f>
        <v>3811</v>
      </c>
      <c r="E1377" t="s">
        <v>824</v>
      </c>
    </row>
    <row r="1378" spans="1:5" x14ac:dyDescent="0.25">
      <c r="A1378" t="str">
        <f t="shared" si="67"/>
        <v>17417</v>
      </c>
      <c r="B1378" t="s">
        <v>2297</v>
      </c>
      <c r="C1378" t="s">
        <v>2324</v>
      </c>
      <c r="D1378" t="str">
        <f>"3679"</f>
        <v>3679</v>
      </c>
      <c r="E1378" t="s">
        <v>818</v>
      </c>
    </row>
    <row r="1379" spans="1:5" x14ac:dyDescent="0.25">
      <c r="A1379" t="str">
        <f t="shared" si="67"/>
        <v>17417</v>
      </c>
      <c r="B1379" t="s">
        <v>2297</v>
      </c>
      <c r="C1379" t="s">
        <v>2325</v>
      </c>
      <c r="D1379" t="str">
        <f>"4371"</f>
        <v>4371</v>
      </c>
      <c r="E1379" t="s">
        <v>830</v>
      </c>
    </row>
    <row r="1380" spans="1:5" x14ac:dyDescent="0.25">
      <c r="A1380" t="str">
        <f t="shared" si="67"/>
        <v>17417</v>
      </c>
      <c r="B1380" t="s">
        <v>2297</v>
      </c>
      <c r="C1380" t="s">
        <v>1156</v>
      </c>
      <c r="D1380" t="str">
        <f>"4187"</f>
        <v>4187</v>
      </c>
      <c r="E1380" t="s">
        <v>818</v>
      </c>
    </row>
    <row r="1381" spans="1:5" x14ac:dyDescent="0.25">
      <c r="A1381" t="str">
        <f t="shared" si="67"/>
        <v>17417</v>
      </c>
      <c r="B1381" t="s">
        <v>2297</v>
      </c>
      <c r="C1381" t="s">
        <v>2326</v>
      </c>
      <c r="D1381" t="str">
        <f>"4516"</f>
        <v>4516</v>
      </c>
      <c r="E1381" t="s">
        <v>830</v>
      </c>
    </row>
    <row r="1382" spans="1:5" x14ac:dyDescent="0.25">
      <c r="A1382" t="str">
        <f t="shared" si="67"/>
        <v>17417</v>
      </c>
      <c r="B1382" t="s">
        <v>2297</v>
      </c>
      <c r="C1382" t="s">
        <v>2327</v>
      </c>
      <c r="D1382" t="str">
        <f>"4069"</f>
        <v>4069</v>
      </c>
      <c r="E1382" t="s">
        <v>818</v>
      </c>
    </row>
    <row r="1383" spans="1:5" x14ac:dyDescent="0.25">
      <c r="A1383" t="str">
        <f t="shared" si="67"/>
        <v>17417</v>
      </c>
      <c r="B1383" t="s">
        <v>2297</v>
      </c>
      <c r="C1383" t="s">
        <v>2328</v>
      </c>
      <c r="D1383" t="str">
        <f>"3287"</f>
        <v>3287</v>
      </c>
      <c r="E1383" t="s">
        <v>818</v>
      </c>
    </row>
    <row r="1384" spans="1:5" x14ac:dyDescent="0.25">
      <c r="A1384" t="str">
        <f t="shared" si="67"/>
        <v>17417</v>
      </c>
      <c r="B1384" t="s">
        <v>2297</v>
      </c>
      <c r="C1384" t="s">
        <v>2329</v>
      </c>
      <c r="D1384" t="str">
        <f>"3749"</f>
        <v>3749</v>
      </c>
      <c r="E1384" t="s">
        <v>818</v>
      </c>
    </row>
    <row r="1385" spans="1:5" x14ac:dyDescent="0.25">
      <c r="A1385" t="str">
        <f t="shared" si="67"/>
        <v>17417</v>
      </c>
      <c r="B1385" t="s">
        <v>2297</v>
      </c>
      <c r="C1385" t="s">
        <v>2330</v>
      </c>
      <c r="D1385" t="str">
        <f>"3396"</f>
        <v>3396</v>
      </c>
      <c r="E1385" t="s">
        <v>824</v>
      </c>
    </row>
    <row r="1386" spans="1:5" x14ac:dyDescent="0.25">
      <c r="A1386" t="str">
        <f t="shared" si="67"/>
        <v>17417</v>
      </c>
      <c r="B1386" t="s">
        <v>2297</v>
      </c>
      <c r="C1386" t="s">
        <v>2331</v>
      </c>
      <c r="D1386" t="str">
        <f>"4208"</f>
        <v>4208</v>
      </c>
      <c r="E1386" t="s">
        <v>824</v>
      </c>
    </row>
    <row r="1387" spans="1:5" x14ac:dyDescent="0.25">
      <c r="A1387" t="str">
        <f t="shared" si="67"/>
        <v>17417</v>
      </c>
      <c r="B1387" t="s">
        <v>2297</v>
      </c>
      <c r="C1387" t="s">
        <v>2332</v>
      </c>
      <c r="D1387" t="str">
        <f>"4377"</f>
        <v>4377</v>
      </c>
      <c r="E1387" t="s">
        <v>818</v>
      </c>
    </row>
    <row r="1388" spans="1:5" x14ac:dyDescent="0.25">
      <c r="A1388" t="str">
        <f>"29801"</f>
        <v>29801</v>
      </c>
      <c r="B1388" t="s">
        <v>2333</v>
      </c>
      <c r="C1388" t="s">
        <v>2334</v>
      </c>
      <c r="D1388" t="str">
        <f>"5501"</f>
        <v>5501</v>
      </c>
      <c r="E1388" t="s">
        <v>824</v>
      </c>
    </row>
    <row r="1389" spans="1:5" x14ac:dyDescent="0.25">
      <c r="A1389" t="str">
        <f>"29801"</f>
        <v>29801</v>
      </c>
      <c r="B1389" t="s">
        <v>2333</v>
      </c>
      <c r="C1389" t="s">
        <v>2335</v>
      </c>
      <c r="D1389" t="str">
        <f>"1811"</f>
        <v>1811</v>
      </c>
      <c r="E1389" t="s">
        <v>821</v>
      </c>
    </row>
    <row r="1390" spans="1:5" x14ac:dyDescent="0.25">
      <c r="A1390" t="str">
        <f>"29801"</f>
        <v>29801</v>
      </c>
      <c r="B1390" t="s">
        <v>2333</v>
      </c>
      <c r="C1390" t="s">
        <v>2336</v>
      </c>
      <c r="D1390" t="str">
        <f>"3363"</f>
        <v>3363</v>
      </c>
      <c r="E1390" t="s">
        <v>824</v>
      </c>
    </row>
    <row r="1391" spans="1:5" x14ac:dyDescent="0.25">
      <c r="A1391" t="str">
        <f>"29801"</f>
        <v>29801</v>
      </c>
      <c r="B1391" t="s">
        <v>2333</v>
      </c>
      <c r="C1391" t="s">
        <v>2337</v>
      </c>
      <c r="D1391" t="str">
        <f>"2601"</f>
        <v>2601</v>
      </c>
      <c r="E1391" t="s">
        <v>821</v>
      </c>
    </row>
    <row r="1392" spans="1:5" x14ac:dyDescent="0.25">
      <c r="A1392" t="str">
        <f>"29801"</f>
        <v>29801</v>
      </c>
      <c r="B1392" t="s">
        <v>2333</v>
      </c>
      <c r="C1392" t="s">
        <v>2338</v>
      </c>
      <c r="D1392" t="str">
        <f>"3420"</f>
        <v>3420</v>
      </c>
      <c r="E1392" t="s">
        <v>824</v>
      </c>
    </row>
    <row r="1393" spans="1:5" x14ac:dyDescent="0.25">
      <c r="A1393" t="str">
        <f t="shared" ref="A1393:A1403" si="68">"15201"</f>
        <v>15201</v>
      </c>
      <c r="B1393" t="s">
        <v>2339</v>
      </c>
      <c r="C1393" t="s">
        <v>2340</v>
      </c>
      <c r="D1393" t="str">
        <f>"3477"</f>
        <v>3477</v>
      </c>
      <c r="E1393" t="s">
        <v>818</v>
      </c>
    </row>
    <row r="1394" spans="1:5" x14ac:dyDescent="0.25">
      <c r="A1394" t="str">
        <f t="shared" si="68"/>
        <v>15201</v>
      </c>
      <c r="B1394" t="s">
        <v>2339</v>
      </c>
      <c r="C1394" t="s">
        <v>2341</v>
      </c>
      <c r="D1394" t="str">
        <f>"3377"</f>
        <v>3377</v>
      </c>
      <c r="E1394" t="s">
        <v>818</v>
      </c>
    </row>
    <row r="1395" spans="1:5" x14ac:dyDescent="0.25">
      <c r="A1395" t="str">
        <f t="shared" si="68"/>
        <v>15201</v>
      </c>
      <c r="B1395" t="s">
        <v>2339</v>
      </c>
      <c r="C1395" t="s">
        <v>2342</v>
      </c>
      <c r="D1395" t="str">
        <f>"4328"</f>
        <v>4328</v>
      </c>
      <c r="E1395" t="s">
        <v>818</v>
      </c>
    </row>
    <row r="1396" spans="1:5" x14ac:dyDescent="0.25">
      <c r="A1396" t="str">
        <f t="shared" si="68"/>
        <v>15201</v>
      </c>
      <c r="B1396" t="s">
        <v>2339</v>
      </c>
      <c r="C1396" t="s">
        <v>2343</v>
      </c>
      <c r="D1396" t="str">
        <f>"1758"</f>
        <v>1758</v>
      </c>
      <c r="E1396" t="s">
        <v>859</v>
      </c>
    </row>
    <row r="1397" spans="1:5" x14ac:dyDescent="0.25">
      <c r="A1397" t="str">
        <f t="shared" si="68"/>
        <v>15201</v>
      </c>
      <c r="B1397" t="s">
        <v>2339</v>
      </c>
      <c r="C1397" t="s">
        <v>2344</v>
      </c>
      <c r="D1397" t="str">
        <f>"5343"</f>
        <v>5343</v>
      </c>
      <c r="E1397" t="s">
        <v>824</v>
      </c>
    </row>
    <row r="1398" spans="1:5" x14ac:dyDescent="0.25">
      <c r="A1398" t="str">
        <f t="shared" si="68"/>
        <v>15201</v>
      </c>
      <c r="B1398" t="s">
        <v>2339</v>
      </c>
      <c r="C1398" t="s">
        <v>2345</v>
      </c>
      <c r="D1398" t="str">
        <f>"3939"</f>
        <v>3939</v>
      </c>
      <c r="E1398" t="s">
        <v>830</v>
      </c>
    </row>
    <row r="1399" spans="1:5" x14ac:dyDescent="0.25">
      <c r="A1399" t="str">
        <f t="shared" si="68"/>
        <v>15201</v>
      </c>
      <c r="B1399" t="s">
        <v>2339</v>
      </c>
      <c r="C1399" t="s">
        <v>2346</v>
      </c>
      <c r="D1399" t="str">
        <f>"2696"</f>
        <v>2696</v>
      </c>
      <c r="E1399" t="s">
        <v>818</v>
      </c>
    </row>
    <row r="1400" spans="1:5" x14ac:dyDescent="0.25">
      <c r="A1400" t="str">
        <f t="shared" si="68"/>
        <v>15201</v>
      </c>
      <c r="B1400" t="s">
        <v>2339</v>
      </c>
      <c r="C1400" t="s">
        <v>2347</v>
      </c>
      <c r="D1400" t="str">
        <f>"2974"</f>
        <v>2974</v>
      </c>
      <c r="E1400" t="s">
        <v>824</v>
      </c>
    </row>
    <row r="1401" spans="1:5" x14ac:dyDescent="0.25">
      <c r="A1401" t="str">
        <f t="shared" si="68"/>
        <v>15201</v>
      </c>
      <c r="B1401" t="s">
        <v>2339</v>
      </c>
      <c r="C1401" t="s">
        <v>2348</v>
      </c>
      <c r="D1401" t="str">
        <f>"3274"</f>
        <v>3274</v>
      </c>
      <c r="E1401" t="s">
        <v>818</v>
      </c>
    </row>
    <row r="1402" spans="1:5" x14ac:dyDescent="0.25">
      <c r="A1402" t="str">
        <f t="shared" si="68"/>
        <v>15201</v>
      </c>
      <c r="B1402" t="s">
        <v>2339</v>
      </c>
      <c r="C1402" t="s">
        <v>2349</v>
      </c>
      <c r="D1402" t="str">
        <f>"3566"</f>
        <v>3566</v>
      </c>
      <c r="E1402" t="s">
        <v>818</v>
      </c>
    </row>
    <row r="1403" spans="1:5" x14ac:dyDescent="0.25">
      <c r="A1403" t="str">
        <f t="shared" si="68"/>
        <v>15201</v>
      </c>
      <c r="B1403" t="s">
        <v>2339</v>
      </c>
      <c r="C1403" t="s">
        <v>1789</v>
      </c>
      <c r="D1403" t="str">
        <f>"3662"</f>
        <v>3662</v>
      </c>
      <c r="E1403" t="s">
        <v>826</v>
      </c>
    </row>
    <row r="1404" spans="1:5" x14ac:dyDescent="0.25">
      <c r="A1404" t="str">
        <f>"38324"</f>
        <v>38324</v>
      </c>
      <c r="B1404" t="s">
        <v>2350</v>
      </c>
      <c r="C1404" t="s">
        <v>2351</v>
      </c>
      <c r="D1404" t="str">
        <f>"3205"</f>
        <v>3205</v>
      </c>
      <c r="E1404" t="s">
        <v>818</v>
      </c>
    </row>
    <row r="1405" spans="1:5" x14ac:dyDescent="0.25">
      <c r="A1405" t="str">
        <f>"38324"</f>
        <v>38324</v>
      </c>
      <c r="B1405" t="s">
        <v>2350</v>
      </c>
      <c r="C1405" t="s">
        <v>2352</v>
      </c>
      <c r="D1405" t="str">
        <f>"2432"</f>
        <v>2432</v>
      </c>
      <c r="E1405" t="s">
        <v>821</v>
      </c>
    </row>
    <row r="1406" spans="1:5" x14ac:dyDescent="0.25">
      <c r="A1406" t="str">
        <f>"14400"</f>
        <v>14400</v>
      </c>
      <c r="B1406" t="s">
        <v>2353</v>
      </c>
      <c r="C1406" t="s">
        <v>2354</v>
      </c>
      <c r="D1406" t="str">
        <f>"2922"</f>
        <v>2922</v>
      </c>
      <c r="E1406" t="s">
        <v>818</v>
      </c>
    </row>
    <row r="1407" spans="1:5" x14ac:dyDescent="0.25">
      <c r="A1407" t="str">
        <f>"14400"</f>
        <v>14400</v>
      </c>
      <c r="B1407" t="s">
        <v>2353</v>
      </c>
      <c r="C1407" t="s">
        <v>2355</v>
      </c>
      <c r="D1407" t="str">
        <f>"2283"</f>
        <v>2283</v>
      </c>
      <c r="E1407" t="s">
        <v>821</v>
      </c>
    </row>
    <row r="1408" spans="1:5" x14ac:dyDescent="0.25">
      <c r="A1408" t="str">
        <f t="shared" ref="A1408:A1413" si="69">"25101"</f>
        <v>25101</v>
      </c>
      <c r="B1408" t="s">
        <v>2356</v>
      </c>
      <c r="C1408" t="s">
        <v>2357</v>
      </c>
      <c r="D1408" t="str">
        <f>"2517"</f>
        <v>2517</v>
      </c>
      <c r="E1408" t="s">
        <v>830</v>
      </c>
    </row>
    <row r="1409" spans="1:5" x14ac:dyDescent="0.25">
      <c r="A1409" t="str">
        <f t="shared" si="69"/>
        <v>25101</v>
      </c>
      <c r="B1409" t="s">
        <v>2356</v>
      </c>
      <c r="C1409" t="s">
        <v>2358</v>
      </c>
      <c r="D1409" t="str">
        <f>"4220"</f>
        <v>4220</v>
      </c>
      <c r="E1409" t="s">
        <v>821</v>
      </c>
    </row>
    <row r="1410" spans="1:5" x14ac:dyDescent="0.25">
      <c r="A1410" t="str">
        <f t="shared" si="69"/>
        <v>25101</v>
      </c>
      <c r="B1410" t="s">
        <v>2356</v>
      </c>
      <c r="C1410" t="s">
        <v>2359</v>
      </c>
      <c r="D1410" t="str">
        <f>"3531"</f>
        <v>3531</v>
      </c>
      <c r="E1410" t="s">
        <v>818</v>
      </c>
    </row>
    <row r="1411" spans="1:5" x14ac:dyDescent="0.25">
      <c r="A1411" t="str">
        <f t="shared" si="69"/>
        <v>25101</v>
      </c>
      <c r="B1411" t="s">
        <v>2356</v>
      </c>
      <c r="C1411" t="s">
        <v>2360</v>
      </c>
      <c r="D1411" t="str">
        <f>"5454"</f>
        <v>5454</v>
      </c>
      <c r="E1411" t="s">
        <v>821</v>
      </c>
    </row>
    <row r="1412" spans="1:5" x14ac:dyDescent="0.25">
      <c r="A1412" t="str">
        <f t="shared" si="69"/>
        <v>25101</v>
      </c>
      <c r="B1412" t="s">
        <v>2356</v>
      </c>
      <c r="C1412" t="s">
        <v>2361</v>
      </c>
      <c r="D1412" t="str">
        <f>"5179"</f>
        <v>5179</v>
      </c>
      <c r="E1412" t="s">
        <v>826</v>
      </c>
    </row>
    <row r="1413" spans="1:5" x14ac:dyDescent="0.25">
      <c r="A1413" t="str">
        <f t="shared" si="69"/>
        <v>25101</v>
      </c>
      <c r="B1413" t="s">
        <v>2356</v>
      </c>
      <c r="C1413" t="s">
        <v>2362</v>
      </c>
      <c r="D1413" t="str">
        <f>"4039"</f>
        <v>4039</v>
      </c>
      <c r="E1413" t="s">
        <v>818</v>
      </c>
    </row>
    <row r="1414" spans="1:5" x14ac:dyDescent="0.25">
      <c r="A1414" t="str">
        <f>"14172"</f>
        <v>14172</v>
      </c>
      <c r="B1414" t="s">
        <v>2363</v>
      </c>
      <c r="C1414" t="s">
        <v>2364</v>
      </c>
      <c r="D1414" t="str">
        <f>"3025"</f>
        <v>3025</v>
      </c>
      <c r="E1414" t="s">
        <v>818</v>
      </c>
    </row>
    <row r="1415" spans="1:5" x14ac:dyDescent="0.25">
      <c r="A1415" t="str">
        <f>"14172"</f>
        <v>14172</v>
      </c>
      <c r="B1415" t="s">
        <v>2363</v>
      </c>
      <c r="C1415" t="s">
        <v>2365</v>
      </c>
      <c r="D1415" t="str">
        <f>"3024"</f>
        <v>3024</v>
      </c>
      <c r="E1415" t="s">
        <v>821</v>
      </c>
    </row>
    <row r="1416" spans="1:5" x14ac:dyDescent="0.25">
      <c r="A1416" t="str">
        <f>"22105"</f>
        <v>22105</v>
      </c>
      <c r="B1416" t="s">
        <v>2366</v>
      </c>
      <c r="C1416" t="s">
        <v>2367</v>
      </c>
      <c r="D1416" t="str">
        <f>"2443"</f>
        <v>2443</v>
      </c>
      <c r="E1416" t="s">
        <v>821</v>
      </c>
    </row>
    <row r="1417" spans="1:5" x14ac:dyDescent="0.25">
      <c r="A1417" t="str">
        <f>"22105"</f>
        <v>22105</v>
      </c>
      <c r="B1417" t="s">
        <v>2366</v>
      </c>
      <c r="C1417" t="s">
        <v>2368</v>
      </c>
      <c r="D1417" t="str">
        <f>"2769"</f>
        <v>2769</v>
      </c>
      <c r="E1417" t="s">
        <v>818</v>
      </c>
    </row>
    <row r="1418" spans="1:5" x14ac:dyDescent="0.25">
      <c r="A1418" t="str">
        <f>"34974"</f>
        <v>34974</v>
      </c>
      <c r="B1418" t="s">
        <v>2369</v>
      </c>
      <c r="C1418" t="s">
        <v>2370</v>
      </c>
      <c r="D1418" t="str">
        <f>"3799"</f>
        <v>3799</v>
      </c>
      <c r="E1418" t="s">
        <v>821</v>
      </c>
    </row>
    <row r="1419" spans="1:5" x14ac:dyDescent="0.25">
      <c r="A1419" t="str">
        <f t="shared" ref="A1419:A1424" si="70">"24105"</f>
        <v>24105</v>
      </c>
      <c r="B1419" t="s">
        <v>2371</v>
      </c>
      <c r="C1419" t="s">
        <v>2372</v>
      </c>
      <c r="D1419" t="str">
        <f>"2539"</f>
        <v>2539</v>
      </c>
      <c r="E1419" t="s">
        <v>818</v>
      </c>
    </row>
    <row r="1420" spans="1:5" x14ac:dyDescent="0.25">
      <c r="A1420" t="str">
        <f t="shared" si="70"/>
        <v>24105</v>
      </c>
      <c r="B1420" t="s">
        <v>2371</v>
      </c>
      <c r="C1420" t="s">
        <v>2373</v>
      </c>
      <c r="D1420" t="str">
        <f>"1980"</f>
        <v>1980</v>
      </c>
      <c r="E1420" t="s">
        <v>824</v>
      </c>
    </row>
    <row r="1421" spans="1:5" x14ac:dyDescent="0.25">
      <c r="A1421" t="str">
        <f t="shared" si="70"/>
        <v>24105</v>
      </c>
      <c r="B1421" t="s">
        <v>2371</v>
      </c>
      <c r="C1421" t="s">
        <v>2374</v>
      </c>
      <c r="D1421" t="str">
        <f>"3193"</f>
        <v>3193</v>
      </c>
      <c r="E1421" t="s">
        <v>824</v>
      </c>
    </row>
    <row r="1422" spans="1:5" x14ac:dyDescent="0.25">
      <c r="A1422" t="str">
        <f t="shared" si="70"/>
        <v>24105</v>
      </c>
      <c r="B1422" t="s">
        <v>2371</v>
      </c>
      <c r="C1422" t="s">
        <v>2375</v>
      </c>
      <c r="D1422" t="str">
        <f>"2246"</f>
        <v>2246</v>
      </c>
      <c r="E1422" t="s">
        <v>824</v>
      </c>
    </row>
    <row r="1423" spans="1:5" x14ac:dyDescent="0.25">
      <c r="A1423" t="str">
        <f t="shared" si="70"/>
        <v>24105</v>
      </c>
      <c r="B1423" t="s">
        <v>2371</v>
      </c>
      <c r="C1423" t="s">
        <v>2376</v>
      </c>
      <c r="D1423" t="str">
        <f>"2245"</f>
        <v>2245</v>
      </c>
      <c r="E1423" t="s">
        <v>830</v>
      </c>
    </row>
    <row r="1424" spans="1:5" x14ac:dyDescent="0.25">
      <c r="A1424" t="str">
        <f t="shared" si="70"/>
        <v>24105</v>
      </c>
      <c r="B1424" t="s">
        <v>2371</v>
      </c>
      <c r="C1424" t="s">
        <v>2377</v>
      </c>
      <c r="D1424" t="str">
        <f>"5151"</f>
        <v>5151</v>
      </c>
      <c r="E1424" t="s">
        <v>821</v>
      </c>
    </row>
    <row r="1425" spans="1:5" x14ac:dyDescent="0.25">
      <c r="A1425" t="str">
        <f t="shared" ref="A1425:A1445" si="71">"34111"</f>
        <v>34111</v>
      </c>
      <c r="B1425" t="s">
        <v>2378</v>
      </c>
      <c r="C1425" t="s">
        <v>2379</v>
      </c>
      <c r="D1425" t="str">
        <f>"1768"</f>
        <v>1768</v>
      </c>
      <c r="E1425" t="s">
        <v>824</v>
      </c>
    </row>
    <row r="1426" spans="1:5" x14ac:dyDescent="0.25">
      <c r="A1426" t="str">
        <f t="shared" si="71"/>
        <v>34111</v>
      </c>
      <c r="B1426" t="s">
        <v>2378</v>
      </c>
      <c r="C1426" t="s">
        <v>2380</v>
      </c>
      <c r="D1426" t="str">
        <f>"2487"</f>
        <v>2487</v>
      </c>
      <c r="E1426" t="s">
        <v>818</v>
      </c>
    </row>
    <row r="1427" spans="1:5" x14ac:dyDescent="0.25">
      <c r="A1427" t="str">
        <f t="shared" si="71"/>
        <v>34111</v>
      </c>
      <c r="B1427" t="s">
        <v>2378</v>
      </c>
      <c r="C1427" t="s">
        <v>2381</v>
      </c>
      <c r="D1427" t="str">
        <f>"3960"</f>
        <v>3960</v>
      </c>
      <c r="E1427" t="s">
        <v>824</v>
      </c>
    </row>
    <row r="1428" spans="1:5" x14ac:dyDescent="0.25">
      <c r="A1428" t="str">
        <f t="shared" si="71"/>
        <v>34111</v>
      </c>
      <c r="B1428" t="s">
        <v>2378</v>
      </c>
      <c r="C1428" t="s">
        <v>2382</v>
      </c>
      <c r="D1428" t="str">
        <f>"4367"</f>
        <v>4367</v>
      </c>
      <c r="E1428" t="s">
        <v>818</v>
      </c>
    </row>
    <row r="1429" spans="1:5" x14ac:dyDescent="0.25">
      <c r="A1429" t="str">
        <f t="shared" si="71"/>
        <v>34111</v>
      </c>
      <c r="B1429" t="s">
        <v>2378</v>
      </c>
      <c r="C1429" t="s">
        <v>1478</v>
      </c>
      <c r="D1429" t="str">
        <f>"2448"</f>
        <v>2448</v>
      </c>
      <c r="E1429" t="s">
        <v>818</v>
      </c>
    </row>
    <row r="1430" spans="1:5" x14ac:dyDescent="0.25">
      <c r="A1430" t="str">
        <f t="shared" si="71"/>
        <v>34111</v>
      </c>
      <c r="B1430" t="s">
        <v>2378</v>
      </c>
      <c r="C1430" t="s">
        <v>2383</v>
      </c>
      <c r="D1430" t="str">
        <f>"3133"</f>
        <v>3133</v>
      </c>
      <c r="E1430" t="s">
        <v>830</v>
      </c>
    </row>
    <row r="1431" spans="1:5" x14ac:dyDescent="0.25">
      <c r="A1431" t="str">
        <f t="shared" si="71"/>
        <v>34111</v>
      </c>
      <c r="B1431" t="s">
        <v>2378</v>
      </c>
      <c r="C1431" t="s">
        <v>2384</v>
      </c>
      <c r="D1431" t="str">
        <f>"4472"</f>
        <v>4472</v>
      </c>
      <c r="E1431" t="s">
        <v>818</v>
      </c>
    </row>
    <row r="1432" spans="1:5" x14ac:dyDescent="0.25">
      <c r="A1432" t="str">
        <f t="shared" si="71"/>
        <v>34111</v>
      </c>
      <c r="B1432" t="s">
        <v>2378</v>
      </c>
      <c r="C1432" t="s">
        <v>2385</v>
      </c>
      <c r="D1432" t="str">
        <f>"3540"</f>
        <v>3540</v>
      </c>
      <c r="E1432" t="s">
        <v>818</v>
      </c>
    </row>
    <row r="1433" spans="1:5" x14ac:dyDescent="0.25">
      <c r="A1433" t="str">
        <f t="shared" si="71"/>
        <v>34111</v>
      </c>
      <c r="B1433" t="s">
        <v>2378</v>
      </c>
      <c r="C1433" t="s">
        <v>1808</v>
      </c>
      <c r="D1433" t="str">
        <f>"2342"</f>
        <v>2342</v>
      </c>
      <c r="E1433" t="s">
        <v>818</v>
      </c>
    </row>
    <row r="1434" spans="1:5" x14ac:dyDescent="0.25">
      <c r="A1434" t="str">
        <f t="shared" si="71"/>
        <v>34111</v>
      </c>
      <c r="B1434" t="s">
        <v>2378</v>
      </c>
      <c r="C1434" t="s">
        <v>2386</v>
      </c>
      <c r="D1434" t="str">
        <f>"3066"</f>
        <v>3066</v>
      </c>
      <c r="E1434" t="s">
        <v>818</v>
      </c>
    </row>
    <row r="1435" spans="1:5" x14ac:dyDescent="0.25">
      <c r="A1435" t="str">
        <f t="shared" si="71"/>
        <v>34111</v>
      </c>
      <c r="B1435" t="s">
        <v>2378</v>
      </c>
      <c r="C1435" t="s">
        <v>2387</v>
      </c>
      <c r="D1435" t="str">
        <f>"4458"</f>
        <v>4458</v>
      </c>
      <c r="E1435" t="s">
        <v>818</v>
      </c>
    </row>
    <row r="1436" spans="1:5" x14ac:dyDescent="0.25">
      <c r="A1436" t="str">
        <f t="shared" si="71"/>
        <v>34111</v>
      </c>
      <c r="B1436" t="s">
        <v>2378</v>
      </c>
      <c r="C1436" t="s">
        <v>2388</v>
      </c>
      <c r="D1436" t="str">
        <f>"2621"</f>
        <v>2621</v>
      </c>
      <c r="E1436" t="s">
        <v>818</v>
      </c>
    </row>
    <row r="1437" spans="1:5" x14ac:dyDescent="0.25">
      <c r="A1437" t="str">
        <f t="shared" si="71"/>
        <v>34111</v>
      </c>
      <c r="B1437" t="s">
        <v>2378</v>
      </c>
      <c r="C1437" t="s">
        <v>2389</v>
      </c>
      <c r="D1437" t="str">
        <f>"3132"</f>
        <v>3132</v>
      </c>
      <c r="E1437" t="s">
        <v>824</v>
      </c>
    </row>
    <row r="1438" spans="1:5" x14ac:dyDescent="0.25">
      <c r="A1438" t="str">
        <f t="shared" si="71"/>
        <v>34111</v>
      </c>
      <c r="B1438" t="s">
        <v>2378</v>
      </c>
      <c r="C1438" t="s">
        <v>2390</v>
      </c>
      <c r="D1438" t="str">
        <f>"5078"</f>
        <v>5078</v>
      </c>
      <c r="E1438" t="s">
        <v>859</v>
      </c>
    </row>
    <row r="1439" spans="1:5" x14ac:dyDescent="0.25">
      <c r="A1439" t="str">
        <f t="shared" si="71"/>
        <v>34111</v>
      </c>
      <c r="B1439" t="s">
        <v>2378</v>
      </c>
      <c r="C1439" t="s">
        <v>2391</v>
      </c>
      <c r="D1439" t="str">
        <f>"5248"</f>
        <v>5248</v>
      </c>
      <c r="E1439" t="s">
        <v>821</v>
      </c>
    </row>
    <row r="1440" spans="1:5" x14ac:dyDescent="0.25">
      <c r="A1440" t="str">
        <f t="shared" si="71"/>
        <v>34111</v>
      </c>
      <c r="B1440" t="s">
        <v>2378</v>
      </c>
      <c r="C1440" t="s">
        <v>883</v>
      </c>
      <c r="D1440" t="str">
        <f>"3697"</f>
        <v>3697</v>
      </c>
      <c r="E1440" t="s">
        <v>818</v>
      </c>
    </row>
    <row r="1441" spans="1:5" x14ac:dyDescent="0.25">
      <c r="A1441" t="str">
        <f t="shared" si="71"/>
        <v>34111</v>
      </c>
      <c r="B1441" t="s">
        <v>2378</v>
      </c>
      <c r="C1441" t="s">
        <v>2392</v>
      </c>
      <c r="D1441" t="str">
        <f>"3696"</f>
        <v>3696</v>
      </c>
      <c r="E1441" t="s">
        <v>830</v>
      </c>
    </row>
    <row r="1442" spans="1:5" x14ac:dyDescent="0.25">
      <c r="A1442" t="str">
        <f t="shared" si="71"/>
        <v>34111</v>
      </c>
      <c r="B1442" t="s">
        <v>2378</v>
      </c>
      <c r="C1442" t="s">
        <v>974</v>
      </c>
      <c r="D1442" t="str">
        <f>"2778"</f>
        <v>2778</v>
      </c>
      <c r="E1442" t="s">
        <v>818</v>
      </c>
    </row>
    <row r="1443" spans="1:5" x14ac:dyDescent="0.25">
      <c r="A1443" t="str">
        <f t="shared" si="71"/>
        <v>34111</v>
      </c>
      <c r="B1443" t="s">
        <v>2378</v>
      </c>
      <c r="C1443" t="s">
        <v>2393</v>
      </c>
      <c r="D1443" t="str">
        <f>"4473"</f>
        <v>4473</v>
      </c>
      <c r="E1443" t="s">
        <v>830</v>
      </c>
    </row>
    <row r="1444" spans="1:5" x14ac:dyDescent="0.25">
      <c r="A1444" t="str">
        <f t="shared" si="71"/>
        <v>34111</v>
      </c>
      <c r="B1444" t="s">
        <v>2378</v>
      </c>
      <c r="C1444" t="s">
        <v>2394</v>
      </c>
      <c r="D1444" t="str">
        <f>"5259"</f>
        <v>5259</v>
      </c>
      <c r="E1444" t="s">
        <v>821</v>
      </c>
    </row>
    <row r="1445" spans="1:5" x14ac:dyDescent="0.25">
      <c r="A1445" t="str">
        <f t="shared" si="71"/>
        <v>34111</v>
      </c>
      <c r="B1445" t="s">
        <v>2378</v>
      </c>
      <c r="C1445" t="s">
        <v>2395</v>
      </c>
      <c r="D1445" t="str">
        <f>"3711"</f>
        <v>3711</v>
      </c>
      <c r="E1445" t="s">
        <v>830</v>
      </c>
    </row>
    <row r="1446" spans="1:5" x14ac:dyDescent="0.25">
      <c r="A1446" t="str">
        <f>"18801"</f>
        <v>18801</v>
      </c>
      <c r="B1446" t="s">
        <v>2396</v>
      </c>
      <c r="C1446" t="s">
        <v>2397</v>
      </c>
      <c r="D1446" t="str">
        <f>"3143"</f>
        <v>3143</v>
      </c>
      <c r="E1446" t="s">
        <v>824</v>
      </c>
    </row>
    <row r="1447" spans="1:5" x14ac:dyDescent="0.25">
      <c r="A1447" t="str">
        <f>"18801"</f>
        <v>18801</v>
      </c>
      <c r="B1447" t="s">
        <v>2396</v>
      </c>
      <c r="C1447" t="s">
        <v>2398</v>
      </c>
      <c r="D1447" t="str">
        <f>"3481"</f>
        <v>3481</v>
      </c>
      <c r="E1447" t="s">
        <v>824</v>
      </c>
    </row>
    <row r="1448" spans="1:5" x14ac:dyDescent="0.25">
      <c r="A1448" t="str">
        <f t="shared" ref="A1448:A1456" si="72">"24019"</f>
        <v>24019</v>
      </c>
      <c r="B1448" t="s">
        <v>2399</v>
      </c>
      <c r="C1448" t="s">
        <v>2400</v>
      </c>
      <c r="D1448" t="str">
        <f>"3051"</f>
        <v>3051</v>
      </c>
      <c r="E1448" t="s">
        <v>818</v>
      </c>
    </row>
    <row r="1449" spans="1:5" x14ac:dyDescent="0.25">
      <c r="A1449" t="str">
        <f t="shared" si="72"/>
        <v>24019</v>
      </c>
      <c r="B1449" t="s">
        <v>2399</v>
      </c>
      <c r="C1449" t="s">
        <v>2401</v>
      </c>
      <c r="D1449" t="str">
        <f>"4279"</f>
        <v>4279</v>
      </c>
      <c r="E1449" t="s">
        <v>824</v>
      </c>
    </row>
    <row r="1450" spans="1:5" x14ac:dyDescent="0.25">
      <c r="A1450" t="str">
        <f t="shared" si="72"/>
        <v>24019</v>
      </c>
      <c r="B1450" t="s">
        <v>2399</v>
      </c>
      <c r="C1450" t="s">
        <v>2402</v>
      </c>
      <c r="D1450" t="str">
        <f>"2999"</f>
        <v>2999</v>
      </c>
      <c r="E1450" t="s">
        <v>818</v>
      </c>
    </row>
    <row r="1451" spans="1:5" x14ac:dyDescent="0.25">
      <c r="A1451" t="str">
        <f t="shared" si="72"/>
        <v>24019</v>
      </c>
      <c r="B1451" t="s">
        <v>2399</v>
      </c>
      <c r="C1451" t="s">
        <v>2403</v>
      </c>
      <c r="D1451" t="str">
        <f>"2031"</f>
        <v>2031</v>
      </c>
      <c r="E1451" t="s">
        <v>824</v>
      </c>
    </row>
    <row r="1452" spans="1:5" x14ac:dyDescent="0.25">
      <c r="A1452" t="str">
        <f t="shared" si="72"/>
        <v>24019</v>
      </c>
      <c r="B1452" t="s">
        <v>2399</v>
      </c>
      <c r="C1452" t="s">
        <v>2404</v>
      </c>
      <c r="D1452" t="str">
        <f>"4237"</f>
        <v>4237</v>
      </c>
      <c r="E1452" t="s">
        <v>830</v>
      </c>
    </row>
    <row r="1453" spans="1:5" x14ac:dyDescent="0.25">
      <c r="A1453" t="str">
        <f t="shared" si="72"/>
        <v>24019</v>
      </c>
      <c r="B1453" t="s">
        <v>2399</v>
      </c>
      <c r="C1453" t="s">
        <v>2405</v>
      </c>
      <c r="D1453" t="str">
        <f>"4278"</f>
        <v>4278</v>
      </c>
      <c r="E1453" t="s">
        <v>821</v>
      </c>
    </row>
    <row r="1454" spans="1:5" x14ac:dyDescent="0.25">
      <c r="A1454" t="str">
        <f t="shared" si="72"/>
        <v>24019</v>
      </c>
      <c r="B1454" t="s">
        <v>2399</v>
      </c>
      <c r="C1454" t="s">
        <v>2406</v>
      </c>
      <c r="D1454" t="str">
        <f>"5195"</f>
        <v>5195</v>
      </c>
      <c r="E1454" t="s">
        <v>818</v>
      </c>
    </row>
    <row r="1455" spans="1:5" x14ac:dyDescent="0.25">
      <c r="A1455" t="str">
        <f t="shared" si="72"/>
        <v>24019</v>
      </c>
      <c r="B1455" t="s">
        <v>2399</v>
      </c>
      <c r="C1455" t="s">
        <v>2407</v>
      </c>
      <c r="D1455" t="str">
        <f>"5197"</f>
        <v>5197</v>
      </c>
      <c r="E1455" t="s">
        <v>824</v>
      </c>
    </row>
    <row r="1456" spans="1:5" x14ac:dyDescent="0.25">
      <c r="A1456" t="str">
        <f t="shared" si="72"/>
        <v>24019</v>
      </c>
      <c r="B1456" t="s">
        <v>2399</v>
      </c>
      <c r="C1456" t="s">
        <v>2408</v>
      </c>
      <c r="D1456" t="str">
        <f>"5196"</f>
        <v>5196</v>
      </c>
      <c r="E1456" t="s">
        <v>830</v>
      </c>
    </row>
    <row r="1457" spans="1:5" x14ac:dyDescent="0.25">
      <c r="A1457" t="str">
        <f>"21300"</f>
        <v>21300</v>
      </c>
      <c r="B1457" t="s">
        <v>2409</v>
      </c>
      <c r="C1457" t="s">
        <v>2410</v>
      </c>
      <c r="D1457" t="str">
        <f>"3239"</f>
        <v>3239</v>
      </c>
      <c r="E1457" t="s">
        <v>821</v>
      </c>
    </row>
    <row r="1458" spans="1:5" x14ac:dyDescent="0.25">
      <c r="A1458" t="str">
        <f>"21300"</f>
        <v>21300</v>
      </c>
      <c r="B1458" t="s">
        <v>2409</v>
      </c>
      <c r="C1458" t="s">
        <v>2411</v>
      </c>
      <c r="D1458" t="str">
        <f>"2331"</f>
        <v>2331</v>
      </c>
      <c r="E1458" t="s">
        <v>824</v>
      </c>
    </row>
    <row r="1459" spans="1:5" x14ac:dyDescent="0.25">
      <c r="A1459" t="str">
        <f>"21300"</f>
        <v>21300</v>
      </c>
      <c r="B1459" t="s">
        <v>2409</v>
      </c>
      <c r="C1459" t="s">
        <v>2412</v>
      </c>
      <c r="D1459" t="str">
        <f>"4335"</f>
        <v>4335</v>
      </c>
      <c r="E1459" t="s">
        <v>830</v>
      </c>
    </row>
    <row r="1460" spans="1:5" x14ac:dyDescent="0.25">
      <c r="A1460" t="str">
        <f>"33030"</f>
        <v>33030</v>
      </c>
      <c r="B1460" t="s">
        <v>2413</v>
      </c>
      <c r="C1460" t="s">
        <v>2414</v>
      </c>
      <c r="D1460" t="str">
        <f>"2049"</f>
        <v>2049</v>
      </c>
      <c r="E1460" t="s">
        <v>821</v>
      </c>
    </row>
    <row r="1461" spans="1:5" x14ac:dyDescent="0.25">
      <c r="A1461" t="str">
        <f>"28137"</f>
        <v>28137</v>
      </c>
      <c r="B1461" t="s">
        <v>2415</v>
      </c>
      <c r="C1461" t="s">
        <v>2416</v>
      </c>
      <c r="D1461" t="str">
        <f>"1892"</f>
        <v>1892</v>
      </c>
      <c r="E1461" t="s">
        <v>859</v>
      </c>
    </row>
    <row r="1462" spans="1:5" x14ac:dyDescent="0.25">
      <c r="A1462" t="str">
        <f>"28137"</f>
        <v>28137</v>
      </c>
      <c r="B1462" t="s">
        <v>2415</v>
      </c>
      <c r="C1462" t="s">
        <v>2417</v>
      </c>
      <c r="D1462" t="str">
        <f>"2749"</f>
        <v>2749</v>
      </c>
      <c r="E1462" t="s">
        <v>818</v>
      </c>
    </row>
    <row r="1463" spans="1:5" x14ac:dyDescent="0.25">
      <c r="A1463" t="str">
        <f>"28137"</f>
        <v>28137</v>
      </c>
      <c r="B1463" t="s">
        <v>2415</v>
      </c>
      <c r="C1463" t="s">
        <v>2418</v>
      </c>
      <c r="D1463" t="str">
        <f>"2750"</f>
        <v>2750</v>
      </c>
      <c r="E1463" t="s">
        <v>824</v>
      </c>
    </row>
    <row r="1464" spans="1:5" x14ac:dyDescent="0.25">
      <c r="A1464" t="str">
        <f>"28137"</f>
        <v>28137</v>
      </c>
      <c r="B1464" t="s">
        <v>2415</v>
      </c>
      <c r="C1464" t="s">
        <v>2419</v>
      </c>
      <c r="D1464" t="str">
        <f>"4558"</f>
        <v>4558</v>
      </c>
      <c r="E1464" t="s">
        <v>830</v>
      </c>
    </row>
    <row r="1465" spans="1:5" x14ac:dyDescent="0.25">
      <c r="A1465" t="str">
        <f>"28137"</f>
        <v>28137</v>
      </c>
      <c r="B1465" t="s">
        <v>2415</v>
      </c>
      <c r="C1465" t="s">
        <v>2420</v>
      </c>
      <c r="D1465" t="str">
        <f>"3808"</f>
        <v>3808</v>
      </c>
      <c r="E1465" t="s">
        <v>821</v>
      </c>
    </row>
    <row r="1466" spans="1:5" x14ac:dyDescent="0.25">
      <c r="A1466" t="str">
        <f>"32123"</f>
        <v>32123</v>
      </c>
      <c r="B1466" t="s">
        <v>2421</v>
      </c>
      <c r="C1466" t="s">
        <v>2422</v>
      </c>
      <c r="D1466" t="str">
        <f>"3723"</f>
        <v>3723</v>
      </c>
      <c r="E1466" t="s">
        <v>821</v>
      </c>
    </row>
    <row r="1467" spans="1:5" x14ac:dyDescent="0.25">
      <c r="A1467" t="str">
        <f>"10065"</f>
        <v>10065</v>
      </c>
      <c r="B1467" t="s">
        <v>2423</v>
      </c>
      <c r="C1467" t="s">
        <v>2424</v>
      </c>
      <c r="D1467" t="str">
        <f>"2136"</f>
        <v>2136</v>
      </c>
      <c r="E1467" t="s">
        <v>821</v>
      </c>
    </row>
    <row r="1468" spans="1:5" x14ac:dyDescent="0.25">
      <c r="A1468" t="str">
        <f>"09013"</f>
        <v>09013</v>
      </c>
      <c r="B1468" t="s">
        <v>2425</v>
      </c>
      <c r="C1468" t="s">
        <v>2426</v>
      </c>
      <c r="D1468" t="str">
        <f>"2666"</f>
        <v>2666</v>
      </c>
      <c r="E1468" t="s">
        <v>821</v>
      </c>
    </row>
    <row r="1469" spans="1:5" x14ac:dyDescent="0.25">
      <c r="A1469" t="str">
        <f>"24410"</f>
        <v>24410</v>
      </c>
      <c r="B1469" t="s">
        <v>2427</v>
      </c>
      <c r="C1469" t="s">
        <v>2428</v>
      </c>
      <c r="D1469" t="str">
        <f>"2422"</f>
        <v>2422</v>
      </c>
      <c r="E1469" t="s">
        <v>818</v>
      </c>
    </row>
    <row r="1470" spans="1:5" x14ac:dyDescent="0.25">
      <c r="A1470" t="str">
        <f>"24410"</f>
        <v>24410</v>
      </c>
      <c r="B1470" t="s">
        <v>2427</v>
      </c>
      <c r="C1470" t="s">
        <v>2429</v>
      </c>
      <c r="D1470" t="str">
        <f>"2706"</f>
        <v>2706</v>
      </c>
      <c r="E1470" t="s">
        <v>821</v>
      </c>
    </row>
    <row r="1471" spans="1:5" x14ac:dyDescent="0.25">
      <c r="A1471" t="str">
        <f>"27344"</f>
        <v>27344</v>
      </c>
      <c r="B1471" t="s">
        <v>2430</v>
      </c>
      <c r="C1471" t="s">
        <v>2431</v>
      </c>
      <c r="D1471" t="str">
        <f>"2942"</f>
        <v>2942</v>
      </c>
      <c r="E1471" t="s">
        <v>824</v>
      </c>
    </row>
    <row r="1472" spans="1:5" x14ac:dyDescent="0.25">
      <c r="A1472" t="str">
        <f>"27344"</f>
        <v>27344</v>
      </c>
      <c r="B1472" t="s">
        <v>2430</v>
      </c>
      <c r="C1472" t="s">
        <v>2432</v>
      </c>
      <c r="D1472" t="str">
        <f>"4262"</f>
        <v>4262</v>
      </c>
      <c r="E1472" t="s">
        <v>830</v>
      </c>
    </row>
    <row r="1473" spans="1:5" x14ac:dyDescent="0.25">
      <c r="A1473" t="str">
        <f>"27344"</f>
        <v>27344</v>
      </c>
      <c r="B1473" t="s">
        <v>2430</v>
      </c>
      <c r="C1473" t="s">
        <v>2433</v>
      </c>
      <c r="D1473" t="str">
        <f>"2360"</f>
        <v>2360</v>
      </c>
      <c r="E1473" t="s">
        <v>818</v>
      </c>
    </row>
    <row r="1474" spans="1:5" x14ac:dyDescent="0.25">
      <c r="A1474" t="str">
        <f>"27344"</f>
        <v>27344</v>
      </c>
      <c r="B1474" t="s">
        <v>2430</v>
      </c>
      <c r="C1474" t="s">
        <v>2434</v>
      </c>
      <c r="D1474" t="str">
        <f>"5011"</f>
        <v>5011</v>
      </c>
      <c r="E1474" t="s">
        <v>826</v>
      </c>
    </row>
    <row r="1475" spans="1:5" x14ac:dyDescent="0.25">
      <c r="A1475" t="str">
        <f>"27344"</f>
        <v>27344</v>
      </c>
      <c r="B1475" t="s">
        <v>2430</v>
      </c>
      <c r="C1475" t="s">
        <v>2435</v>
      </c>
      <c r="D1475" t="str">
        <f>"4547"</f>
        <v>4547</v>
      </c>
      <c r="E1475" t="s">
        <v>818</v>
      </c>
    </row>
    <row r="1476" spans="1:5" x14ac:dyDescent="0.25">
      <c r="A1476" t="str">
        <f t="shared" ref="A1476:A1483" si="73">"01147"</f>
        <v>01147</v>
      </c>
      <c r="B1476" t="s">
        <v>2436</v>
      </c>
      <c r="C1476" t="s">
        <v>2437</v>
      </c>
      <c r="D1476" t="str">
        <f>"5367"</f>
        <v>5367</v>
      </c>
      <c r="E1476" t="s">
        <v>824</v>
      </c>
    </row>
    <row r="1477" spans="1:5" x14ac:dyDescent="0.25">
      <c r="A1477" t="str">
        <f t="shared" si="73"/>
        <v>01147</v>
      </c>
      <c r="B1477" t="s">
        <v>2436</v>
      </c>
      <c r="C1477" t="s">
        <v>1392</v>
      </c>
      <c r="D1477" t="str">
        <f>"5528"</f>
        <v>5528</v>
      </c>
      <c r="E1477" t="s">
        <v>826</v>
      </c>
    </row>
    <row r="1478" spans="1:5" x14ac:dyDescent="0.25">
      <c r="A1478" t="str">
        <f t="shared" si="73"/>
        <v>01147</v>
      </c>
      <c r="B1478" t="s">
        <v>2436</v>
      </c>
      <c r="C1478" t="s">
        <v>2438</v>
      </c>
      <c r="D1478" t="str">
        <f>"2961"</f>
        <v>2961</v>
      </c>
      <c r="E1478" t="s">
        <v>818</v>
      </c>
    </row>
    <row r="1479" spans="1:5" x14ac:dyDescent="0.25">
      <c r="A1479" t="str">
        <f t="shared" si="73"/>
        <v>01147</v>
      </c>
      <c r="B1479" t="s">
        <v>2436</v>
      </c>
      <c r="C1479" t="s">
        <v>2439</v>
      </c>
      <c r="D1479" t="str">
        <f>"2902"</f>
        <v>2902</v>
      </c>
      <c r="E1479" t="s">
        <v>818</v>
      </c>
    </row>
    <row r="1480" spans="1:5" x14ac:dyDescent="0.25">
      <c r="A1480" t="str">
        <f t="shared" si="73"/>
        <v>01147</v>
      </c>
      <c r="B1480" t="s">
        <v>2436</v>
      </c>
      <c r="C1480" t="s">
        <v>2440</v>
      </c>
      <c r="D1480" t="str">
        <f>"3471"</f>
        <v>3471</v>
      </c>
      <c r="E1480" t="s">
        <v>830</v>
      </c>
    </row>
    <row r="1481" spans="1:5" x14ac:dyDescent="0.25">
      <c r="A1481" t="str">
        <f t="shared" si="73"/>
        <v>01147</v>
      </c>
      <c r="B1481" t="s">
        <v>2436</v>
      </c>
      <c r="C1481" t="s">
        <v>2441</v>
      </c>
      <c r="D1481" t="str">
        <f>"3015"</f>
        <v>3015</v>
      </c>
      <c r="E1481" t="s">
        <v>824</v>
      </c>
    </row>
    <row r="1482" spans="1:5" x14ac:dyDescent="0.25">
      <c r="A1482" t="str">
        <f t="shared" si="73"/>
        <v>01147</v>
      </c>
      <c r="B1482" t="s">
        <v>2436</v>
      </c>
      <c r="C1482" t="s">
        <v>2442</v>
      </c>
      <c r="D1482" t="str">
        <f>"3730"</f>
        <v>3730</v>
      </c>
      <c r="E1482" t="s">
        <v>818</v>
      </c>
    </row>
    <row r="1483" spans="1:5" x14ac:dyDescent="0.25">
      <c r="A1483" t="str">
        <f t="shared" si="73"/>
        <v>01147</v>
      </c>
      <c r="B1483" t="s">
        <v>2436</v>
      </c>
      <c r="C1483" t="s">
        <v>2443</v>
      </c>
      <c r="D1483" t="str">
        <f>"5285"</f>
        <v>5285</v>
      </c>
      <c r="E1483" t="s">
        <v>818</v>
      </c>
    </row>
    <row r="1484" spans="1:5" x14ac:dyDescent="0.25">
      <c r="A1484" t="str">
        <f>"09102"</f>
        <v>09102</v>
      </c>
      <c r="B1484" t="s">
        <v>2444</v>
      </c>
      <c r="C1484" t="s">
        <v>2445</v>
      </c>
      <c r="D1484" t="str">
        <f>"2502"</f>
        <v>2502</v>
      </c>
      <c r="E1484" t="s">
        <v>818</v>
      </c>
    </row>
    <row r="1485" spans="1:5" x14ac:dyDescent="0.25">
      <c r="A1485" t="str">
        <f>"38301"</f>
        <v>38301</v>
      </c>
      <c r="B1485" t="s">
        <v>2446</v>
      </c>
      <c r="C1485" t="s">
        <v>2447</v>
      </c>
      <c r="D1485" t="str">
        <f>"1961"</f>
        <v>1961</v>
      </c>
      <c r="E1485" t="s">
        <v>830</v>
      </c>
    </row>
    <row r="1486" spans="1:5" x14ac:dyDescent="0.25">
      <c r="A1486" t="str">
        <f>"38301"</f>
        <v>38301</v>
      </c>
      <c r="B1486" t="s">
        <v>2446</v>
      </c>
      <c r="C1486" t="s">
        <v>2448</v>
      </c>
      <c r="D1486" t="str">
        <f>"2622"</f>
        <v>2622</v>
      </c>
      <c r="E1486" t="s">
        <v>818</v>
      </c>
    </row>
    <row r="1487" spans="1:5" x14ac:dyDescent="0.25">
      <c r="A1487" t="str">
        <f>"38301"</f>
        <v>38301</v>
      </c>
      <c r="B1487" t="s">
        <v>2446</v>
      </c>
      <c r="C1487" t="s">
        <v>2449</v>
      </c>
      <c r="D1487" t="str">
        <f>"2634"</f>
        <v>2634</v>
      </c>
      <c r="E1487" t="s">
        <v>824</v>
      </c>
    </row>
    <row r="1488" spans="1:5" x14ac:dyDescent="0.25">
      <c r="A1488" t="str">
        <f t="shared" ref="A1488:A1511" si="74">"11001"</f>
        <v>11001</v>
      </c>
      <c r="B1488" t="s">
        <v>2450</v>
      </c>
      <c r="C1488" t="s">
        <v>2451</v>
      </c>
      <c r="D1488" t="str">
        <f>"5391"</f>
        <v>5391</v>
      </c>
      <c r="E1488" t="s">
        <v>818</v>
      </c>
    </row>
    <row r="1489" spans="1:5" x14ac:dyDescent="0.25">
      <c r="A1489" t="str">
        <f t="shared" si="74"/>
        <v>11001</v>
      </c>
      <c r="B1489" t="s">
        <v>2450</v>
      </c>
      <c r="C1489" t="s">
        <v>2452</v>
      </c>
      <c r="D1489" t="str">
        <f>"5392"</f>
        <v>5392</v>
      </c>
      <c r="E1489" t="s">
        <v>818</v>
      </c>
    </row>
    <row r="1490" spans="1:5" x14ac:dyDescent="0.25">
      <c r="A1490" t="str">
        <f t="shared" si="74"/>
        <v>11001</v>
      </c>
      <c r="B1490" t="s">
        <v>2450</v>
      </c>
      <c r="C1490" t="s">
        <v>2453</v>
      </c>
      <c r="D1490" t="str">
        <f>"5164"</f>
        <v>5164</v>
      </c>
      <c r="E1490" t="s">
        <v>824</v>
      </c>
    </row>
    <row r="1491" spans="1:5" x14ac:dyDescent="0.25">
      <c r="A1491" t="str">
        <f t="shared" si="74"/>
        <v>11001</v>
      </c>
      <c r="B1491" t="s">
        <v>2450</v>
      </c>
      <c r="C1491" t="s">
        <v>2454</v>
      </c>
      <c r="D1491" t="str">
        <f>"3425"</f>
        <v>3425</v>
      </c>
      <c r="E1491" t="s">
        <v>818</v>
      </c>
    </row>
    <row r="1492" spans="1:5" x14ac:dyDescent="0.25">
      <c r="A1492" t="str">
        <f t="shared" si="74"/>
        <v>11001</v>
      </c>
      <c r="B1492" t="s">
        <v>2450</v>
      </c>
      <c r="C1492" t="s">
        <v>2455</v>
      </c>
      <c r="D1492" t="str">
        <f>"4564"</f>
        <v>4564</v>
      </c>
      <c r="E1492" t="s">
        <v>830</v>
      </c>
    </row>
    <row r="1493" spans="1:5" x14ac:dyDescent="0.25">
      <c r="A1493" t="str">
        <f t="shared" si="74"/>
        <v>11001</v>
      </c>
      <c r="B1493" t="s">
        <v>2450</v>
      </c>
      <c r="C1493" t="s">
        <v>1730</v>
      </c>
      <c r="D1493" t="str">
        <f>"2967"</f>
        <v>2967</v>
      </c>
      <c r="E1493" t="s">
        <v>818</v>
      </c>
    </row>
    <row r="1494" spans="1:5" x14ac:dyDescent="0.25">
      <c r="A1494" t="str">
        <f t="shared" si="74"/>
        <v>11001</v>
      </c>
      <c r="B1494" t="s">
        <v>2450</v>
      </c>
      <c r="C1494" t="s">
        <v>2456</v>
      </c>
      <c r="D1494" t="str">
        <f>"5393"</f>
        <v>5393</v>
      </c>
      <c r="E1494" t="s">
        <v>821</v>
      </c>
    </row>
    <row r="1495" spans="1:5" x14ac:dyDescent="0.25">
      <c r="A1495" t="str">
        <f t="shared" si="74"/>
        <v>11001</v>
      </c>
      <c r="B1495" t="s">
        <v>2450</v>
      </c>
      <c r="C1495" t="s">
        <v>2457</v>
      </c>
      <c r="D1495" t="str">
        <f>"4155"</f>
        <v>4155</v>
      </c>
      <c r="E1495" t="s">
        <v>818</v>
      </c>
    </row>
    <row r="1496" spans="1:5" x14ac:dyDescent="0.25">
      <c r="A1496" t="str">
        <f t="shared" si="74"/>
        <v>11001</v>
      </c>
      <c r="B1496" t="s">
        <v>2450</v>
      </c>
      <c r="C1496" t="s">
        <v>2458</v>
      </c>
      <c r="D1496" t="str">
        <f>"2790"</f>
        <v>2790</v>
      </c>
      <c r="E1496" t="s">
        <v>818</v>
      </c>
    </row>
    <row r="1497" spans="1:5" x14ac:dyDescent="0.25">
      <c r="A1497" t="str">
        <f t="shared" si="74"/>
        <v>11001</v>
      </c>
      <c r="B1497" t="s">
        <v>2450</v>
      </c>
      <c r="C1497" t="s">
        <v>2459</v>
      </c>
      <c r="D1497" t="str">
        <f>"5394"</f>
        <v>5394</v>
      </c>
      <c r="E1497" t="s">
        <v>818</v>
      </c>
    </row>
    <row r="1498" spans="1:5" x14ac:dyDescent="0.25">
      <c r="A1498" t="str">
        <f t="shared" si="74"/>
        <v>11001</v>
      </c>
      <c r="B1498" t="s">
        <v>2450</v>
      </c>
      <c r="C1498" t="s">
        <v>2460</v>
      </c>
      <c r="D1498" t="str">
        <f>"3085"</f>
        <v>3085</v>
      </c>
      <c r="E1498" t="s">
        <v>818</v>
      </c>
    </row>
    <row r="1499" spans="1:5" x14ac:dyDescent="0.25">
      <c r="A1499" t="str">
        <f t="shared" si="74"/>
        <v>11001</v>
      </c>
      <c r="B1499" t="s">
        <v>2450</v>
      </c>
      <c r="C1499" t="s">
        <v>2461</v>
      </c>
      <c r="D1499" t="str">
        <f>"4595"</f>
        <v>4595</v>
      </c>
      <c r="E1499" t="s">
        <v>818</v>
      </c>
    </row>
    <row r="1500" spans="1:5" x14ac:dyDescent="0.25">
      <c r="A1500" t="str">
        <f t="shared" si="74"/>
        <v>11001</v>
      </c>
      <c r="B1500" t="s">
        <v>2450</v>
      </c>
      <c r="C1500" t="s">
        <v>2462</v>
      </c>
      <c r="D1500" t="str">
        <f>"2267"</f>
        <v>2267</v>
      </c>
      <c r="E1500" t="s">
        <v>830</v>
      </c>
    </row>
    <row r="1501" spans="1:5" x14ac:dyDescent="0.25">
      <c r="A1501" t="str">
        <f t="shared" si="74"/>
        <v>11001</v>
      </c>
      <c r="B1501" t="s">
        <v>2450</v>
      </c>
      <c r="C1501" t="s">
        <v>2463</v>
      </c>
      <c r="D1501" t="str">
        <f>"3912"</f>
        <v>3912</v>
      </c>
      <c r="E1501" t="s">
        <v>824</v>
      </c>
    </row>
    <row r="1502" spans="1:5" x14ac:dyDescent="0.25">
      <c r="A1502" t="str">
        <f t="shared" si="74"/>
        <v>11001</v>
      </c>
      <c r="B1502" t="s">
        <v>2450</v>
      </c>
      <c r="C1502" t="s">
        <v>2464</v>
      </c>
      <c r="D1502" t="str">
        <f>"1970"</f>
        <v>1970</v>
      </c>
      <c r="E1502" t="s">
        <v>826</v>
      </c>
    </row>
    <row r="1503" spans="1:5" x14ac:dyDescent="0.25">
      <c r="A1503" t="str">
        <f t="shared" si="74"/>
        <v>11001</v>
      </c>
      <c r="B1503" t="s">
        <v>2450</v>
      </c>
      <c r="C1503" t="s">
        <v>2465</v>
      </c>
      <c r="D1503" t="str">
        <f>"5483"</f>
        <v>5483</v>
      </c>
      <c r="E1503" t="s">
        <v>826</v>
      </c>
    </row>
    <row r="1504" spans="1:5" x14ac:dyDescent="0.25">
      <c r="A1504" t="str">
        <f t="shared" si="74"/>
        <v>11001</v>
      </c>
      <c r="B1504" t="s">
        <v>2450</v>
      </c>
      <c r="C1504" t="s">
        <v>2466</v>
      </c>
      <c r="D1504" t="str">
        <f>"2917"</f>
        <v>2917</v>
      </c>
      <c r="E1504" t="s">
        <v>824</v>
      </c>
    </row>
    <row r="1505" spans="1:5" x14ac:dyDescent="0.25">
      <c r="A1505" t="str">
        <f t="shared" si="74"/>
        <v>11001</v>
      </c>
      <c r="B1505" t="s">
        <v>2450</v>
      </c>
      <c r="C1505" t="s">
        <v>2467</v>
      </c>
      <c r="D1505" t="str">
        <f>"3515"</f>
        <v>3515</v>
      </c>
      <c r="E1505" t="s">
        <v>818</v>
      </c>
    </row>
    <row r="1506" spans="1:5" x14ac:dyDescent="0.25">
      <c r="A1506" t="str">
        <f t="shared" si="74"/>
        <v>11001</v>
      </c>
      <c r="B1506" t="s">
        <v>2450</v>
      </c>
      <c r="C1506" t="s">
        <v>2468</v>
      </c>
      <c r="D1506" t="str">
        <f>"5345"</f>
        <v>5345</v>
      </c>
      <c r="E1506" t="s">
        <v>818</v>
      </c>
    </row>
    <row r="1507" spans="1:5" x14ac:dyDescent="0.25">
      <c r="A1507" t="str">
        <f t="shared" si="74"/>
        <v>11001</v>
      </c>
      <c r="B1507" t="s">
        <v>2450</v>
      </c>
      <c r="C1507" t="s">
        <v>2469</v>
      </c>
      <c r="D1507" t="str">
        <f>"4555"</f>
        <v>4555</v>
      </c>
      <c r="E1507" t="s">
        <v>818</v>
      </c>
    </row>
    <row r="1508" spans="1:5" x14ac:dyDescent="0.25">
      <c r="A1508" t="str">
        <f t="shared" si="74"/>
        <v>11001</v>
      </c>
      <c r="B1508" t="s">
        <v>2450</v>
      </c>
      <c r="C1508" t="s">
        <v>2470</v>
      </c>
      <c r="D1508" t="str">
        <f>"4041"</f>
        <v>4041</v>
      </c>
      <c r="E1508" t="s">
        <v>818</v>
      </c>
    </row>
    <row r="1509" spans="1:5" x14ac:dyDescent="0.25">
      <c r="A1509" t="str">
        <f t="shared" si="74"/>
        <v>11001</v>
      </c>
      <c r="B1509" t="s">
        <v>2450</v>
      </c>
      <c r="C1509" t="s">
        <v>2471</v>
      </c>
      <c r="D1509" t="str">
        <f>"3324"</f>
        <v>3324</v>
      </c>
      <c r="E1509" t="s">
        <v>830</v>
      </c>
    </row>
    <row r="1510" spans="1:5" x14ac:dyDescent="0.25">
      <c r="A1510" t="str">
        <f t="shared" si="74"/>
        <v>11001</v>
      </c>
      <c r="B1510" t="s">
        <v>2450</v>
      </c>
      <c r="C1510" t="s">
        <v>2472</v>
      </c>
      <c r="D1510" t="str">
        <f>"5020"</f>
        <v>5020</v>
      </c>
      <c r="E1510" t="s">
        <v>818</v>
      </c>
    </row>
    <row r="1511" spans="1:5" x14ac:dyDescent="0.25">
      <c r="A1511" t="str">
        <f t="shared" si="74"/>
        <v>11001</v>
      </c>
      <c r="B1511" t="s">
        <v>2450</v>
      </c>
      <c r="C1511" t="s">
        <v>1499</v>
      </c>
      <c r="D1511" t="str">
        <f>"4526"</f>
        <v>4526</v>
      </c>
      <c r="E1511" t="s">
        <v>818</v>
      </c>
    </row>
    <row r="1512" spans="1:5" x14ac:dyDescent="0.25">
      <c r="A1512" t="str">
        <f>"24122"</f>
        <v>24122</v>
      </c>
      <c r="B1512" t="s">
        <v>2473</v>
      </c>
      <c r="C1512" t="s">
        <v>2474</v>
      </c>
      <c r="D1512" t="str">
        <f>"2396"</f>
        <v>2396</v>
      </c>
      <c r="E1512" t="s">
        <v>818</v>
      </c>
    </row>
    <row r="1513" spans="1:5" x14ac:dyDescent="0.25">
      <c r="A1513" t="str">
        <f>"24122"</f>
        <v>24122</v>
      </c>
      <c r="B1513" t="s">
        <v>2473</v>
      </c>
      <c r="C1513" t="s">
        <v>2475</v>
      </c>
      <c r="D1513" t="str">
        <f>"2397"</f>
        <v>2397</v>
      </c>
      <c r="E1513" t="s">
        <v>821</v>
      </c>
    </row>
    <row r="1514" spans="1:5" x14ac:dyDescent="0.25">
      <c r="A1514" t="str">
        <f>"03050"</f>
        <v>03050</v>
      </c>
      <c r="B1514" t="s">
        <v>2476</v>
      </c>
      <c r="C1514" t="s">
        <v>2477</v>
      </c>
      <c r="D1514" t="str">
        <f>"2133"</f>
        <v>2133</v>
      </c>
      <c r="E1514" t="s">
        <v>821</v>
      </c>
    </row>
    <row r="1515" spans="1:5" x14ac:dyDescent="0.25">
      <c r="A1515" t="str">
        <f>"21301"</f>
        <v>21301</v>
      </c>
      <c r="B1515" t="s">
        <v>2478</v>
      </c>
      <c r="C1515" t="s">
        <v>2479</v>
      </c>
      <c r="D1515" t="str">
        <f>"2858"</f>
        <v>2858</v>
      </c>
      <c r="E1515" t="s">
        <v>851</v>
      </c>
    </row>
    <row r="1516" spans="1:5" x14ac:dyDescent="0.25">
      <c r="A1516" t="str">
        <f>"21301"</f>
        <v>21301</v>
      </c>
      <c r="B1516" t="s">
        <v>2478</v>
      </c>
      <c r="C1516" t="s">
        <v>2480</v>
      </c>
      <c r="D1516" t="str">
        <f>"1925"</f>
        <v>1925</v>
      </c>
      <c r="E1516" t="s">
        <v>824</v>
      </c>
    </row>
    <row r="1517" spans="1:5" x14ac:dyDescent="0.25">
      <c r="A1517" t="str">
        <f t="shared" ref="A1517:A1531" si="75">"27401"</f>
        <v>27401</v>
      </c>
      <c r="B1517" t="s">
        <v>2481</v>
      </c>
      <c r="C1517" t="s">
        <v>2482</v>
      </c>
      <c r="D1517" t="str">
        <f>"3299"</f>
        <v>3299</v>
      </c>
      <c r="E1517" t="s">
        <v>818</v>
      </c>
    </row>
    <row r="1518" spans="1:5" x14ac:dyDescent="0.25">
      <c r="A1518" t="str">
        <f t="shared" si="75"/>
        <v>27401</v>
      </c>
      <c r="B1518" t="s">
        <v>2481</v>
      </c>
      <c r="C1518" t="s">
        <v>2483</v>
      </c>
      <c r="D1518" t="str">
        <f>"4080"</f>
        <v>4080</v>
      </c>
      <c r="E1518" t="s">
        <v>818</v>
      </c>
    </row>
    <row r="1519" spans="1:5" x14ac:dyDescent="0.25">
      <c r="A1519" t="str">
        <f t="shared" si="75"/>
        <v>27401</v>
      </c>
      <c r="B1519" t="s">
        <v>2481</v>
      </c>
      <c r="C1519" t="s">
        <v>999</v>
      </c>
      <c r="D1519" t="str">
        <f>"3055"</f>
        <v>3055</v>
      </c>
      <c r="E1519" t="s">
        <v>818</v>
      </c>
    </row>
    <row r="1520" spans="1:5" x14ac:dyDescent="0.25">
      <c r="A1520" t="str">
        <f t="shared" si="75"/>
        <v>27401</v>
      </c>
      <c r="B1520" t="s">
        <v>2481</v>
      </c>
      <c r="C1520" t="s">
        <v>2484</v>
      </c>
      <c r="D1520" t="str">
        <f>"4081"</f>
        <v>4081</v>
      </c>
      <c r="E1520" t="s">
        <v>824</v>
      </c>
    </row>
    <row r="1521" spans="1:5" x14ac:dyDescent="0.25">
      <c r="A1521" t="str">
        <f t="shared" si="75"/>
        <v>27401</v>
      </c>
      <c r="B1521" t="s">
        <v>2481</v>
      </c>
      <c r="C1521" t="s">
        <v>2485</v>
      </c>
      <c r="D1521" t="str">
        <f>"2294"</f>
        <v>2294</v>
      </c>
      <c r="E1521" t="s">
        <v>830</v>
      </c>
    </row>
    <row r="1522" spans="1:5" x14ac:dyDescent="0.25">
      <c r="A1522" t="str">
        <f t="shared" si="75"/>
        <v>27401</v>
      </c>
      <c r="B1522" t="s">
        <v>2481</v>
      </c>
      <c r="C1522" t="s">
        <v>2486</v>
      </c>
      <c r="D1522" t="str">
        <f>"2944"</f>
        <v>2944</v>
      </c>
      <c r="E1522" t="s">
        <v>818</v>
      </c>
    </row>
    <row r="1523" spans="1:5" x14ac:dyDescent="0.25">
      <c r="A1523" t="str">
        <f t="shared" si="75"/>
        <v>27401</v>
      </c>
      <c r="B1523" t="s">
        <v>2481</v>
      </c>
      <c r="C1523" t="s">
        <v>2487</v>
      </c>
      <c r="D1523" t="str">
        <f>"4387"</f>
        <v>4387</v>
      </c>
      <c r="E1523" t="s">
        <v>830</v>
      </c>
    </row>
    <row r="1524" spans="1:5" x14ac:dyDescent="0.25">
      <c r="A1524" t="str">
        <f t="shared" si="75"/>
        <v>27401</v>
      </c>
      <c r="B1524" t="s">
        <v>2481</v>
      </c>
      <c r="C1524" t="s">
        <v>2488</v>
      </c>
      <c r="D1524" t="str">
        <f>"1516"</f>
        <v>1516</v>
      </c>
      <c r="E1524" t="s">
        <v>824</v>
      </c>
    </row>
    <row r="1525" spans="1:5" x14ac:dyDescent="0.25">
      <c r="A1525" t="str">
        <f t="shared" si="75"/>
        <v>27401</v>
      </c>
      <c r="B1525" t="s">
        <v>2481</v>
      </c>
      <c r="C1525" t="s">
        <v>2489</v>
      </c>
      <c r="D1525" t="str">
        <f>"4156"</f>
        <v>4156</v>
      </c>
      <c r="E1525" t="s">
        <v>830</v>
      </c>
    </row>
    <row r="1526" spans="1:5" x14ac:dyDescent="0.25">
      <c r="A1526" t="str">
        <f t="shared" si="75"/>
        <v>27401</v>
      </c>
      <c r="B1526" t="s">
        <v>2481</v>
      </c>
      <c r="C1526" t="s">
        <v>2490</v>
      </c>
      <c r="D1526" t="str">
        <f>"4219"</f>
        <v>4219</v>
      </c>
      <c r="E1526" t="s">
        <v>830</v>
      </c>
    </row>
    <row r="1527" spans="1:5" x14ac:dyDescent="0.25">
      <c r="A1527" t="str">
        <f t="shared" si="75"/>
        <v>27401</v>
      </c>
      <c r="B1527" t="s">
        <v>2481</v>
      </c>
      <c r="C1527" t="s">
        <v>2491</v>
      </c>
      <c r="D1527" t="str">
        <f>"4189"</f>
        <v>4189</v>
      </c>
      <c r="E1527" t="s">
        <v>818</v>
      </c>
    </row>
    <row r="1528" spans="1:5" x14ac:dyDescent="0.25">
      <c r="A1528" t="str">
        <f t="shared" si="75"/>
        <v>27401</v>
      </c>
      <c r="B1528" t="s">
        <v>2481</v>
      </c>
      <c r="C1528" t="s">
        <v>2492</v>
      </c>
      <c r="D1528" t="str">
        <f>"2681"</f>
        <v>2681</v>
      </c>
      <c r="E1528" t="s">
        <v>824</v>
      </c>
    </row>
    <row r="1529" spans="1:5" x14ac:dyDescent="0.25">
      <c r="A1529" t="str">
        <f t="shared" si="75"/>
        <v>27401</v>
      </c>
      <c r="B1529" t="s">
        <v>2481</v>
      </c>
      <c r="C1529" t="s">
        <v>2493</v>
      </c>
      <c r="D1529" t="str">
        <f>"3685"</f>
        <v>3685</v>
      </c>
      <c r="E1529" t="s">
        <v>818</v>
      </c>
    </row>
    <row r="1530" spans="1:5" x14ac:dyDescent="0.25">
      <c r="A1530" t="str">
        <f t="shared" si="75"/>
        <v>27401</v>
      </c>
      <c r="B1530" t="s">
        <v>2481</v>
      </c>
      <c r="C1530" t="s">
        <v>2494</v>
      </c>
      <c r="D1530" t="str">
        <f>"3056"</f>
        <v>3056</v>
      </c>
      <c r="E1530" t="s">
        <v>818</v>
      </c>
    </row>
    <row r="1531" spans="1:5" x14ac:dyDescent="0.25">
      <c r="A1531" t="str">
        <f t="shared" si="75"/>
        <v>27401</v>
      </c>
      <c r="B1531" t="s">
        <v>2481</v>
      </c>
      <c r="C1531" t="s">
        <v>2495</v>
      </c>
      <c r="D1531" t="str">
        <f>"4307"</f>
        <v>4307</v>
      </c>
      <c r="E1531" t="s">
        <v>818</v>
      </c>
    </row>
    <row r="1532" spans="1:5" x14ac:dyDescent="0.25">
      <c r="A1532" t="str">
        <f>"23402"</f>
        <v>23402</v>
      </c>
      <c r="B1532" t="s">
        <v>2496</v>
      </c>
      <c r="C1532" t="s">
        <v>883</v>
      </c>
      <c r="D1532" t="str">
        <f>"4463"</f>
        <v>4463</v>
      </c>
      <c r="E1532" t="s">
        <v>818</v>
      </c>
    </row>
    <row r="1533" spans="1:5" x14ac:dyDescent="0.25">
      <c r="A1533" t="str">
        <f>"23402"</f>
        <v>23402</v>
      </c>
      <c r="B1533" t="s">
        <v>2496</v>
      </c>
      <c r="C1533" t="s">
        <v>2497</v>
      </c>
      <c r="D1533" t="str">
        <f>"2865"</f>
        <v>2865</v>
      </c>
      <c r="E1533" t="s">
        <v>830</v>
      </c>
    </row>
    <row r="1534" spans="1:5" x14ac:dyDescent="0.25">
      <c r="A1534" t="str">
        <f>"12110"</f>
        <v>12110</v>
      </c>
      <c r="B1534" t="s">
        <v>2498</v>
      </c>
      <c r="C1534" t="s">
        <v>2499</v>
      </c>
      <c r="D1534" t="str">
        <f>"3087"</f>
        <v>3087</v>
      </c>
      <c r="E1534" t="s">
        <v>818</v>
      </c>
    </row>
    <row r="1535" spans="1:5" x14ac:dyDescent="0.25">
      <c r="A1535" t="str">
        <f>"12110"</f>
        <v>12110</v>
      </c>
      <c r="B1535" t="s">
        <v>2498</v>
      </c>
      <c r="C1535" t="s">
        <v>2500</v>
      </c>
      <c r="D1535" t="str">
        <f>"2241"</f>
        <v>2241</v>
      </c>
      <c r="E1535" t="s">
        <v>821</v>
      </c>
    </row>
    <row r="1536" spans="1:5" x14ac:dyDescent="0.25">
      <c r="A1536" t="str">
        <f t="shared" ref="A1536:A1545" si="76">"05121"</f>
        <v>05121</v>
      </c>
      <c r="B1536" t="s">
        <v>2501</v>
      </c>
      <c r="C1536" t="s">
        <v>2502</v>
      </c>
      <c r="D1536" t="str">
        <f>"4494"</f>
        <v>4494</v>
      </c>
      <c r="E1536" t="s">
        <v>818</v>
      </c>
    </row>
    <row r="1537" spans="1:5" x14ac:dyDescent="0.25">
      <c r="A1537" t="str">
        <f t="shared" si="76"/>
        <v>05121</v>
      </c>
      <c r="B1537" t="s">
        <v>2501</v>
      </c>
      <c r="C1537" t="s">
        <v>1937</v>
      </c>
      <c r="D1537" t="str">
        <f>"2909"</f>
        <v>2909</v>
      </c>
      <c r="E1537" t="s">
        <v>818</v>
      </c>
    </row>
    <row r="1538" spans="1:5" x14ac:dyDescent="0.25">
      <c r="A1538" t="str">
        <f t="shared" si="76"/>
        <v>05121</v>
      </c>
      <c r="B1538" t="s">
        <v>2501</v>
      </c>
      <c r="C1538" t="s">
        <v>2503</v>
      </c>
      <c r="D1538" t="str">
        <f>"3079"</f>
        <v>3079</v>
      </c>
      <c r="E1538" t="s">
        <v>818</v>
      </c>
    </row>
    <row r="1539" spans="1:5" x14ac:dyDescent="0.25">
      <c r="A1539" t="str">
        <f t="shared" si="76"/>
        <v>05121</v>
      </c>
      <c r="B1539" t="s">
        <v>2501</v>
      </c>
      <c r="C1539" t="s">
        <v>1484</v>
      </c>
      <c r="D1539" t="str">
        <f>"2368"</f>
        <v>2368</v>
      </c>
      <c r="E1539" t="s">
        <v>818</v>
      </c>
    </row>
    <row r="1540" spans="1:5" x14ac:dyDescent="0.25">
      <c r="A1540" t="str">
        <f t="shared" si="76"/>
        <v>05121</v>
      </c>
      <c r="B1540" t="s">
        <v>2501</v>
      </c>
      <c r="C1540" t="s">
        <v>2504</v>
      </c>
      <c r="D1540" t="str">
        <f>"4003"</f>
        <v>4003</v>
      </c>
      <c r="E1540" t="s">
        <v>824</v>
      </c>
    </row>
    <row r="1541" spans="1:5" x14ac:dyDescent="0.25">
      <c r="A1541" t="str">
        <f t="shared" si="76"/>
        <v>05121</v>
      </c>
      <c r="B1541" t="s">
        <v>2501</v>
      </c>
      <c r="C1541" t="s">
        <v>2505</v>
      </c>
      <c r="D1541" t="str">
        <f>"1715"</f>
        <v>1715</v>
      </c>
      <c r="E1541" t="s">
        <v>821</v>
      </c>
    </row>
    <row r="1542" spans="1:5" x14ac:dyDescent="0.25">
      <c r="A1542" t="str">
        <f t="shared" si="76"/>
        <v>05121</v>
      </c>
      <c r="B1542" t="s">
        <v>2501</v>
      </c>
      <c r="C1542" t="s">
        <v>2506</v>
      </c>
      <c r="D1542" t="str">
        <f>"2908"</f>
        <v>2908</v>
      </c>
      <c r="E1542" t="s">
        <v>824</v>
      </c>
    </row>
    <row r="1543" spans="1:5" x14ac:dyDescent="0.25">
      <c r="A1543" t="str">
        <f t="shared" si="76"/>
        <v>05121</v>
      </c>
      <c r="B1543" t="s">
        <v>2501</v>
      </c>
      <c r="C1543" t="s">
        <v>974</v>
      </c>
      <c r="D1543" t="str">
        <f>"5115"</f>
        <v>5115</v>
      </c>
      <c r="E1543" t="s">
        <v>818</v>
      </c>
    </row>
    <row r="1544" spans="1:5" x14ac:dyDescent="0.25">
      <c r="A1544" t="str">
        <f t="shared" si="76"/>
        <v>05121</v>
      </c>
      <c r="B1544" t="s">
        <v>2501</v>
      </c>
      <c r="C1544" t="s">
        <v>1789</v>
      </c>
      <c r="D1544" t="str">
        <f>"1897"</f>
        <v>1897</v>
      </c>
      <c r="E1544" t="s">
        <v>851</v>
      </c>
    </row>
    <row r="1545" spans="1:5" x14ac:dyDescent="0.25">
      <c r="A1545" t="str">
        <f t="shared" si="76"/>
        <v>05121</v>
      </c>
      <c r="B1545" t="s">
        <v>2501</v>
      </c>
      <c r="C1545" t="s">
        <v>2471</v>
      </c>
      <c r="D1545" t="str">
        <f>"3318"</f>
        <v>3318</v>
      </c>
      <c r="E1545" t="s">
        <v>830</v>
      </c>
    </row>
    <row r="1546" spans="1:5" x14ac:dyDescent="0.25">
      <c r="A1546" t="str">
        <f>"16050"</f>
        <v>16050</v>
      </c>
      <c r="B1546" t="s">
        <v>2507</v>
      </c>
      <c r="C1546" t="s">
        <v>2508</v>
      </c>
      <c r="D1546" t="str">
        <f>"4475"</f>
        <v>4475</v>
      </c>
      <c r="E1546" t="s">
        <v>830</v>
      </c>
    </row>
    <row r="1547" spans="1:5" x14ac:dyDescent="0.25">
      <c r="A1547" t="str">
        <f>"16050"</f>
        <v>16050</v>
      </c>
      <c r="B1547" t="s">
        <v>2507</v>
      </c>
      <c r="C1547" t="s">
        <v>2509</v>
      </c>
      <c r="D1547" t="str">
        <f>"1798"</f>
        <v>1798</v>
      </c>
      <c r="E1547" t="s">
        <v>859</v>
      </c>
    </row>
    <row r="1548" spans="1:5" x14ac:dyDescent="0.25">
      <c r="A1548" t="str">
        <f>"16050"</f>
        <v>16050</v>
      </c>
      <c r="B1548" t="s">
        <v>2507</v>
      </c>
      <c r="C1548" t="s">
        <v>2510</v>
      </c>
      <c r="D1548" t="str">
        <f>"2503"</f>
        <v>2503</v>
      </c>
      <c r="E1548" t="s">
        <v>824</v>
      </c>
    </row>
    <row r="1549" spans="1:5" x14ac:dyDescent="0.25">
      <c r="A1549" t="str">
        <f>"16050"</f>
        <v>16050</v>
      </c>
      <c r="B1549" t="s">
        <v>2507</v>
      </c>
      <c r="C1549" t="s">
        <v>2511</v>
      </c>
      <c r="D1549" t="str">
        <f>"3094"</f>
        <v>3094</v>
      </c>
      <c r="E1549" t="s">
        <v>818</v>
      </c>
    </row>
    <row r="1550" spans="1:5" x14ac:dyDescent="0.25">
      <c r="A1550" t="str">
        <f>"36402"</f>
        <v>36402</v>
      </c>
      <c r="B1550" t="s">
        <v>2512</v>
      </c>
      <c r="C1550" t="s">
        <v>2513</v>
      </c>
      <c r="D1550" t="str">
        <f>"3574"</f>
        <v>3574</v>
      </c>
      <c r="E1550" t="s">
        <v>818</v>
      </c>
    </row>
    <row r="1551" spans="1:5" x14ac:dyDescent="0.25">
      <c r="A1551" t="str">
        <f>"36402"</f>
        <v>36402</v>
      </c>
      <c r="B1551" t="s">
        <v>2512</v>
      </c>
      <c r="C1551" t="s">
        <v>2514</v>
      </c>
      <c r="D1551" t="str">
        <f>"3575"</f>
        <v>3575</v>
      </c>
      <c r="E1551" t="s">
        <v>821</v>
      </c>
    </row>
    <row r="1552" spans="1:5" x14ac:dyDescent="0.25">
      <c r="A1552" t="str">
        <f>"36402"</f>
        <v>36402</v>
      </c>
      <c r="B1552" t="s">
        <v>2512</v>
      </c>
      <c r="C1552" t="s">
        <v>2515</v>
      </c>
      <c r="D1552" t="str">
        <f>"5157"</f>
        <v>5157</v>
      </c>
      <c r="E1552" t="s">
        <v>826</v>
      </c>
    </row>
    <row r="1553" spans="1:5" x14ac:dyDescent="0.25">
      <c r="A1553" t="str">
        <f>"32907"</f>
        <v>32907</v>
      </c>
      <c r="B1553" t="s">
        <v>2516</v>
      </c>
      <c r="C1553" t="s">
        <v>2517</v>
      </c>
      <c r="D1553" t="str">
        <f>"5339"</f>
        <v>5339</v>
      </c>
      <c r="E1553" t="s">
        <v>821</v>
      </c>
    </row>
    <row r="1554" spans="1:5" x14ac:dyDescent="0.25">
      <c r="A1554" t="str">
        <f t="shared" ref="A1554:A1559" si="77">"03116"</f>
        <v>03116</v>
      </c>
      <c r="B1554" t="s">
        <v>2518</v>
      </c>
      <c r="C1554" t="s">
        <v>2519</v>
      </c>
      <c r="D1554" t="str">
        <f>"2906"</f>
        <v>2906</v>
      </c>
      <c r="E1554" t="s">
        <v>830</v>
      </c>
    </row>
    <row r="1555" spans="1:5" x14ac:dyDescent="0.25">
      <c r="A1555" t="str">
        <f t="shared" si="77"/>
        <v>03116</v>
      </c>
      <c r="B1555" t="s">
        <v>2518</v>
      </c>
      <c r="C1555" t="s">
        <v>2520</v>
      </c>
      <c r="D1555" t="str">
        <f>"2195"</f>
        <v>2195</v>
      </c>
      <c r="E1555" t="s">
        <v>818</v>
      </c>
    </row>
    <row r="1556" spans="1:5" x14ac:dyDescent="0.25">
      <c r="A1556" t="str">
        <f t="shared" si="77"/>
        <v>03116</v>
      </c>
      <c r="B1556" t="s">
        <v>2518</v>
      </c>
      <c r="C1556" t="s">
        <v>2521</v>
      </c>
      <c r="D1556" t="str">
        <f>"3316"</f>
        <v>3316</v>
      </c>
      <c r="E1556" t="s">
        <v>818</v>
      </c>
    </row>
    <row r="1557" spans="1:5" x14ac:dyDescent="0.25">
      <c r="A1557" t="str">
        <f t="shared" si="77"/>
        <v>03116</v>
      </c>
      <c r="B1557" t="s">
        <v>2518</v>
      </c>
      <c r="C1557" t="s">
        <v>2522</v>
      </c>
      <c r="D1557" t="str">
        <f>"2508"</f>
        <v>2508</v>
      </c>
      <c r="E1557" t="s">
        <v>824</v>
      </c>
    </row>
    <row r="1558" spans="1:5" x14ac:dyDescent="0.25">
      <c r="A1558" t="str">
        <f t="shared" si="77"/>
        <v>03116</v>
      </c>
      <c r="B1558" t="s">
        <v>2518</v>
      </c>
      <c r="C1558" t="s">
        <v>2523</v>
      </c>
      <c r="D1558" t="str">
        <f>"5537"</f>
        <v>5537</v>
      </c>
      <c r="E1558" t="s">
        <v>824</v>
      </c>
    </row>
    <row r="1559" spans="1:5" x14ac:dyDescent="0.25">
      <c r="A1559" t="str">
        <f t="shared" si="77"/>
        <v>03116</v>
      </c>
      <c r="B1559" t="s">
        <v>2518</v>
      </c>
      <c r="C1559" t="s">
        <v>2524</v>
      </c>
      <c r="D1559" t="str">
        <f>"2905"</f>
        <v>2905</v>
      </c>
      <c r="E1559" t="s">
        <v>818</v>
      </c>
    </row>
    <row r="1560" spans="1:5" x14ac:dyDescent="0.25">
      <c r="A1560" t="str">
        <f>"38267"</f>
        <v>38267</v>
      </c>
      <c r="B1560" t="s">
        <v>2525</v>
      </c>
      <c r="C1560" t="s">
        <v>1937</v>
      </c>
      <c r="D1560" t="str">
        <f>"2587"</f>
        <v>2587</v>
      </c>
      <c r="E1560" t="s">
        <v>818</v>
      </c>
    </row>
    <row r="1561" spans="1:5" x14ac:dyDescent="0.25">
      <c r="A1561" t="str">
        <f>"38267"</f>
        <v>38267</v>
      </c>
      <c r="B1561" t="s">
        <v>2525</v>
      </c>
      <c r="C1561" t="s">
        <v>1484</v>
      </c>
      <c r="D1561" t="str">
        <f>"3203"</f>
        <v>3203</v>
      </c>
      <c r="E1561" t="s">
        <v>818</v>
      </c>
    </row>
    <row r="1562" spans="1:5" x14ac:dyDescent="0.25">
      <c r="A1562" t="str">
        <f>"38267"</f>
        <v>38267</v>
      </c>
      <c r="B1562" t="s">
        <v>2525</v>
      </c>
      <c r="C1562" t="s">
        <v>1213</v>
      </c>
      <c r="D1562" t="str">
        <f>"3419"</f>
        <v>3419</v>
      </c>
      <c r="E1562" t="s">
        <v>830</v>
      </c>
    </row>
    <row r="1563" spans="1:5" x14ac:dyDescent="0.25">
      <c r="A1563" t="str">
        <f>"38267"</f>
        <v>38267</v>
      </c>
      <c r="B1563" t="s">
        <v>2525</v>
      </c>
      <c r="C1563" t="s">
        <v>2526</v>
      </c>
      <c r="D1563" t="str">
        <f>"2499"</f>
        <v>2499</v>
      </c>
      <c r="E1563" t="s">
        <v>824</v>
      </c>
    </row>
    <row r="1564" spans="1:5" x14ac:dyDescent="0.25">
      <c r="A1564" t="str">
        <f>"38267"</f>
        <v>38267</v>
      </c>
      <c r="B1564" t="s">
        <v>2525</v>
      </c>
      <c r="C1564" t="s">
        <v>2068</v>
      </c>
      <c r="D1564" t="str">
        <f>"3614"</f>
        <v>3614</v>
      </c>
      <c r="E1564" t="s">
        <v>818</v>
      </c>
    </row>
    <row r="1565" spans="1:5" x14ac:dyDescent="0.25">
      <c r="A1565" t="str">
        <f t="shared" ref="A1565:A1600" si="78">"27003"</f>
        <v>27003</v>
      </c>
      <c r="B1565" t="s">
        <v>2527</v>
      </c>
      <c r="C1565" t="s">
        <v>2528</v>
      </c>
      <c r="D1565" t="str">
        <f>"3447"</f>
        <v>3447</v>
      </c>
      <c r="E1565" t="s">
        <v>1006</v>
      </c>
    </row>
    <row r="1566" spans="1:5" x14ac:dyDescent="0.25">
      <c r="A1566" t="str">
        <f t="shared" si="78"/>
        <v>27003</v>
      </c>
      <c r="B1566" t="s">
        <v>2527</v>
      </c>
      <c r="C1566" t="s">
        <v>2529</v>
      </c>
      <c r="D1566" t="str">
        <f>"3750"</f>
        <v>3750</v>
      </c>
      <c r="E1566" t="s">
        <v>1006</v>
      </c>
    </row>
    <row r="1567" spans="1:5" x14ac:dyDescent="0.25">
      <c r="A1567" t="str">
        <f t="shared" si="78"/>
        <v>27003</v>
      </c>
      <c r="B1567" t="s">
        <v>2527</v>
      </c>
      <c r="C1567" t="s">
        <v>2530</v>
      </c>
      <c r="D1567" t="str">
        <f>"4361"</f>
        <v>4361</v>
      </c>
      <c r="E1567" t="s">
        <v>818</v>
      </c>
    </row>
    <row r="1568" spans="1:5" x14ac:dyDescent="0.25">
      <c r="A1568" t="str">
        <f t="shared" si="78"/>
        <v>27003</v>
      </c>
      <c r="B1568" t="s">
        <v>2527</v>
      </c>
      <c r="C1568" t="s">
        <v>1923</v>
      </c>
      <c r="D1568" t="str">
        <f>"5088"</f>
        <v>5088</v>
      </c>
      <c r="E1568" t="s">
        <v>818</v>
      </c>
    </row>
    <row r="1569" spans="1:5" x14ac:dyDescent="0.25">
      <c r="A1569" t="str">
        <f t="shared" si="78"/>
        <v>27003</v>
      </c>
      <c r="B1569" t="s">
        <v>2527</v>
      </c>
      <c r="C1569" t="s">
        <v>2531</v>
      </c>
      <c r="D1569" t="str">
        <f>"2575"</f>
        <v>2575</v>
      </c>
      <c r="E1569" t="s">
        <v>1006</v>
      </c>
    </row>
    <row r="1570" spans="1:5" x14ac:dyDescent="0.25">
      <c r="A1570" t="str">
        <f t="shared" si="78"/>
        <v>27003</v>
      </c>
      <c r="B1570" t="s">
        <v>2527</v>
      </c>
      <c r="C1570" t="s">
        <v>2532</v>
      </c>
      <c r="D1570" t="str">
        <f>"5093"</f>
        <v>5093</v>
      </c>
      <c r="E1570" t="s">
        <v>818</v>
      </c>
    </row>
    <row r="1571" spans="1:5" x14ac:dyDescent="0.25">
      <c r="A1571" t="str">
        <f t="shared" si="78"/>
        <v>27003</v>
      </c>
      <c r="B1571" t="s">
        <v>2527</v>
      </c>
      <c r="C1571" t="s">
        <v>2533</v>
      </c>
      <c r="D1571" t="str">
        <f>"4540"</f>
        <v>4540</v>
      </c>
      <c r="E1571" t="s">
        <v>824</v>
      </c>
    </row>
    <row r="1572" spans="1:5" x14ac:dyDescent="0.25">
      <c r="A1572" t="str">
        <f t="shared" si="78"/>
        <v>27003</v>
      </c>
      <c r="B1572" t="s">
        <v>2527</v>
      </c>
      <c r="C1572" t="s">
        <v>2534</v>
      </c>
      <c r="D1572" t="str">
        <f>"4183"</f>
        <v>4183</v>
      </c>
      <c r="E1572" t="s">
        <v>1006</v>
      </c>
    </row>
    <row r="1573" spans="1:5" x14ac:dyDescent="0.25">
      <c r="A1573" t="str">
        <f t="shared" si="78"/>
        <v>27003</v>
      </c>
      <c r="B1573" t="s">
        <v>2527</v>
      </c>
      <c r="C1573" t="s">
        <v>2535</v>
      </c>
      <c r="D1573" t="str">
        <f>"2496"</f>
        <v>2496</v>
      </c>
      <c r="E1573" t="s">
        <v>818</v>
      </c>
    </row>
    <row r="1574" spans="1:5" x14ac:dyDescent="0.25">
      <c r="A1574" t="str">
        <f t="shared" si="78"/>
        <v>27003</v>
      </c>
      <c r="B1574" t="s">
        <v>2527</v>
      </c>
      <c r="C1574" t="s">
        <v>2536</v>
      </c>
      <c r="D1574" t="str">
        <f>"3557"</f>
        <v>3557</v>
      </c>
      <c r="E1574" t="s">
        <v>818</v>
      </c>
    </row>
    <row r="1575" spans="1:5" x14ac:dyDescent="0.25">
      <c r="A1575" t="str">
        <f t="shared" si="78"/>
        <v>27003</v>
      </c>
      <c r="B1575" t="s">
        <v>2527</v>
      </c>
      <c r="C1575" t="s">
        <v>2537</v>
      </c>
      <c r="D1575" t="str">
        <f>"5142"</f>
        <v>5142</v>
      </c>
      <c r="E1575" t="s">
        <v>1006</v>
      </c>
    </row>
    <row r="1576" spans="1:5" x14ac:dyDescent="0.25">
      <c r="A1576" t="str">
        <f t="shared" si="78"/>
        <v>27003</v>
      </c>
      <c r="B1576" t="s">
        <v>2527</v>
      </c>
      <c r="C1576" t="s">
        <v>2538</v>
      </c>
      <c r="D1576" t="str">
        <f>"4360"</f>
        <v>4360</v>
      </c>
      <c r="E1576" t="s">
        <v>818</v>
      </c>
    </row>
    <row r="1577" spans="1:5" x14ac:dyDescent="0.25">
      <c r="A1577" t="str">
        <f t="shared" si="78"/>
        <v>27003</v>
      </c>
      <c r="B1577" t="s">
        <v>2527</v>
      </c>
      <c r="C1577" t="s">
        <v>2539</v>
      </c>
      <c r="D1577" t="str">
        <f>"3052"</f>
        <v>3052</v>
      </c>
      <c r="E1577" t="s">
        <v>1006</v>
      </c>
    </row>
    <row r="1578" spans="1:5" x14ac:dyDescent="0.25">
      <c r="A1578" t="str">
        <f t="shared" si="78"/>
        <v>27003</v>
      </c>
      <c r="B1578" t="s">
        <v>2527</v>
      </c>
      <c r="C1578" t="s">
        <v>2540</v>
      </c>
      <c r="D1578" t="str">
        <f>"2870"</f>
        <v>2870</v>
      </c>
      <c r="E1578" t="s">
        <v>818</v>
      </c>
    </row>
    <row r="1579" spans="1:5" x14ac:dyDescent="0.25">
      <c r="A1579" t="str">
        <f t="shared" si="78"/>
        <v>27003</v>
      </c>
      <c r="B1579" t="s">
        <v>2527</v>
      </c>
      <c r="C1579" t="s">
        <v>2541</v>
      </c>
      <c r="D1579" t="str">
        <f>"2498"</f>
        <v>2498</v>
      </c>
      <c r="E1579" t="s">
        <v>818</v>
      </c>
    </row>
    <row r="1580" spans="1:5" x14ac:dyDescent="0.25">
      <c r="A1580" t="str">
        <f t="shared" si="78"/>
        <v>27003</v>
      </c>
      <c r="B1580" t="s">
        <v>2527</v>
      </c>
      <c r="C1580" t="s">
        <v>2542</v>
      </c>
      <c r="D1580" t="str">
        <f>"2334"</f>
        <v>2334</v>
      </c>
      <c r="E1580" t="s">
        <v>818</v>
      </c>
    </row>
    <row r="1581" spans="1:5" x14ac:dyDescent="0.25">
      <c r="A1581" t="str">
        <f t="shared" si="78"/>
        <v>27003</v>
      </c>
      <c r="B1581" t="s">
        <v>2527</v>
      </c>
      <c r="C1581" t="s">
        <v>2543</v>
      </c>
      <c r="D1581" t="str">
        <f>"3572"</f>
        <v>3572</v>
      </c>
      <c r="E1581" t="s">
        <v>818</v>
      </c>
    </row>
    <row r="1582" spans="1:5" x14ac:dyDescent="0.25">
      <c r="A1582" t="str">
        <f t="shared" si="78"/>
        <v>27003</v>
      </c>
      <c r="B1582" t="s">
        <v>2527</v>
      </c>
      <c r="C1582" t="s">
        <v>2544</v>
      </c>
      <c r="D1582" t="str">
        <f>"3927"</f>
        <v>3927</v>
      </c>
      <c r="E1582" t="s">
        <v>818</v>
      </c>
    </row>
    <row r="1583" spans="1:5" x14ac:dyDescent="0.25">
      <c r="A1583" t="str">
        <f t="shared" si="78"/>
        <v>27003</v>
      </c>
      <c r="B1583" t="s">
        <v>2527</v>
      </c>
      <c r="C1583" t="s">
        <v>2545</v>
      </c>
      <c r="D1583" t="str">
        <f>"4146"</f>
        <v>4146</v>
      </c>
      <c r="E1583" t="s">
        <v>818</v>
      </c>
    </row>
    <row r="1584" spans="1:5" x14ac:dyDescent="0.25">
      <c r="A1584" t="str">
        <f t="shared" si="78"/>
        <v>27003</v>
      </c>
      <c r="B1584" t="s">
        <v>2527</v>
      </c>
      <c r="C1584" t="s">
        <v>2546</v>
      </c>
      <c r="D1584" t="str">
        <f>"3951"</f>
        <v>3951</v>
      </c>
      <c r="E1584" t="s">
        <v>851</v>
      </c>
    </row>
    <row r="1585" spans="1:5" x14ac:dyDescent="0.25">
      <c r="A1585" t="str">
        <f t="shared" si="78"/>
        <v>27003</v>
      </c>
      <c r="B1585" t="s">
        <v>2527</v>
      </c>
      <c r="C1585" t="s">
        <v>2547</v>
      </c>
      <c r="D1585" t="str">
        <f>"2125"</f>
        <v>2125</v>
      </c>
      <c r="E1585" t="s">
        <v>824</v>
      </c>
    </row>
    <row r="1586" spans="1:5" x14ac:dyDescent="0.25">
      <c r="A1586" t="str">
        <f t="shared" si="78"/>
        <v>27003</v>
      </c>
      <c r="B1586" t="s">
        <v>2527</v>
      </c>
      <c r="C1586" t="s">
        <v>2548</v>
      </c>
      <c r="D1586" t="str">
        <f>"1640"</f>
        <v>1640</v>
      </c>
      <c r="E1586" t="s">
        <v>859</v>
      </c>
    </row>
    <row r="1587" spans="1:5" x14ac:dyDescent="0.25">
      <c r="A1587" t="str">
        <f t="shared" si="78"/>
        <v>27003</v>
      </c>
      <c r="B1587" t="s">
        <v>2527</v>
      </c>
      <c r="C1587" t="s">
        <v>2549</v>
      </c>
      <c r="D1587" t="str">
        <f>"5321"</f>
        <v>5321</v>
      </c>
      <c r="E1587" t="s">
        <v>824</v>
      </c>
    </row>
    <row r="1588" spans="1:5" x14ac:dyDescent="0.25">
      <c r="A1588" t="str">
        <f t="shared" si="78"/>
        <v>27003</v>
      </c>
      <c r="B1588" t="s">
        <v>2527</v>
      </c>
      <c r="C1588" t="s">
        <v>2550</v>
      </c>
      <c r="D1588" t="str">
        <f>"5322"</f>
        <v>5322</v>
      </c>
      <c r="E1588" t="s">
        <v>821</v>
      </c>
    </row>
    <row r="1589" spans="1:5" x14ac:dyDescent="0.25">
      <c r="A1589" t="str">
        <f t="shared" si="78"/>
        <v>27003</v>
      </c>
      <c r="B1589" t="s">
        <v>2527</v>
      </c>
      <c r="C1589" t="s">
        <v>2551</v>
      </c>
      <c r="D1589" t="str">
        <f>"4121"</f>
        <v>4121</v>
      </c>
      <c r="E1589" t="s">
        <v>818</v>
      </c>
    </row>
    <row r="1590" spans="1:5" x14ac:dyDescent="0.25">
      <c r="A1590" t="str">
        <f t="shared" si="78"/>
        <v>27003</v>
      </c>
      <c r="B1590" t="s">
        <v>2527</v>
      </c>
      <c r="C1590" t="s">
        <v>2552</v>
      </c>
      <c r="D1590" t="str">
        <f>"3645"</f>
        <v>3645</v>
      </c>
      <c r="E1590" t="s">
        <v>824</v>
      </c>
    </row>
    <row r="1591" spans="1:5" x14ac:dyDescent="0.25">
      <c r="A1591" t="str">
        <f t="shared" si="78"/>
        <v>27003</v>
      </c>
      <c r="B1591" t="s">
        <v>2527</v>
      </c>
      <c r="C1591" t="s">
        <v>2553</v>
      </c>
      <c r="D1591" t="str">
        <f>"4414"</f>
        <v>4414</v>
      </c>
      <c r="E1591" t="s">
        <v>818</v>
      </c>
    </row>
    <row r="1592" spans="1:5" x14ac:dyDescent="0.25">
      <c r="A1592" t="str">
        <f t="shared" si="78"/>
        <v>27003</v>
      </c>
      <c r="B1592" t="s">
        <v>2527</v>
      </c>
      <c r="C1592" t="s">
        <v>2554</v>
      </c>
      <c r="D1592" t="str">
        <f>"2497"</f>
        <v>2497</v>
      </c>
      <c r="E1592" t="s">
        <v>818</v>
      </c>
    </row>
    <row r="1593" spans="1:5" x14ac:dyDescent="0.25">
      <c r="A1593" t="str">
        <f t="shared" si="78"/>
        <v>27003</v>
      </c>
      <c r="B1593" t="s">
        <v>2527</v>
      </c>
      <c r="C1593" t="s">
        <v>2555</v>
      </c>
      <c r="D1593" t="str">
        <f>"4443"</f>
        <v>4443</v>
      </c>
      <c r="E1593" t="s">
        <v>821</v>
      </c>
    </row>
    <row r="1594" spans="1:5" x14ac:dyDescent="0.25">
      <c r="A1594" t="str">
        <f t="shared" si="78"/>
        <v>27003</v>
      </c>
      <c r="B1594" t="s">
        <v>2527</v>
      </c>
      <c r="C1594" t="s">
        <v>2556</v>
      </c>
      <c r="D1594" t="str">
        <f>"2311"</f>
        <v>2311</v>
      </c>
      <c r="E1594" t="s">
        <v>818</v>
      </c>
    </row>
    <row r="1595" spans="1:5" x14ac:dyDescent="0.25">
      <c r="A1595" t="str">
        <f t="shared" si="78"/>
        <v>27003</v>
      </c>
      <c r="B1595" t="s">
        <v>2527</v>
      </c>
      <c r="C1595" t="s">
        <v>1156</v>
      </c>
      <c r="D1595" t="str">
        <f>"3896"</f>
        <v>3896</v>
      </c>
      <c r="E1595" t="s">
        <v>818</v>
      </c>
    </row>
    <row r="1596" spans="1:5" x14ac:dyDescent="0.25">
      <c r="A1596" t="str">
        <f t="shared" si="78"/>
        <v>27003</v>
      </c>
      <c r="B1596" t="s">
        <v>2527</v>
      </c>
      <c r="C1596" t="s">
        <v>2557</v>
      </c>
      <c r="D1596" t="str">
        <f>"3972"</f>
        <v>3972</v>
      </c>
      <c r="E1596" t="s">
        <v>824</v>
      </c>
    </row>
    <row r="1597" spans="1:5" x14ac:dyDescent="0.25">
      <c r="A1597" t="str">
        <f t="shared" si="78"/>
        <v>27003</v>
      </c>
      <c r="B1597" t="s">
        <v>2527</v>
      </c>
      <c r="C1597" t="s">
        <v>2558</v>
      </c>
      <c r="D1597" t="str">
        <f>"2495"</f>
        <v>2495</v>
      </c>
      <c r="E1597" t="s">
        <v>818</v>
      </c>
    </row>
    <row r="1598" spans="1:5" x14ac:dyDescent="0.25">
      <c r="A1598" t="str">
        <f t="shared" si="78"/>
        <v>27003</v>
      </c>
      <c r="B1598" t="s">
        <v>2527</v>
      </c>
      <c r="C1598" t="s">
        <v>2559</v>
      </c>
      <c r="D1598" t="str">
        <f>"3558"</f>
        <v>3558</v>
      </c>
      <c r="E1598" t="s">
        <v>818</v>
      </c>
    </row>
    <row r="1599" spans="1:5" x14ac:dyDescent="0.25">
      <c r="A1599" t="str">
        <f t="shared" si="78"/>
        <v>27003</v>
      </c>
      <c r="B1599" t="s">
        <v>2527</v>
      </c>
      <c r="C1599" t="s">
        <v>2292</v>
      </c>
      <c r="D1599" t="str">
        <f>"2519"</f>
        <v>2519</v>
      </c>
      <c r="E1599" t="s">
        <v>818</v>
      </c>
    </row>
    <row r="1600" spans="1:5" x14ac:dyDescent="0.25">
      <c r="A1600" t="str">
        <f t="shared" si="78"/>
        <v>27003</v>
      </c>
      <c r="B1600" t="s">
        <v>2527</v>
      </c>
      <c r="C1600" t="s">
        <v>2560</v>
      </c>
      <c r="D1600" t="str">
        <f>"4496"</f>
        <v>4496</v>
      </c>
      <c r="E1600" t="s">
        <v>818</v>
      </c>
    </row>
    <row r="1601" spans="1:5" x14ac:dyDescent="0.25">
      <c r="A1601" t="str">
        <f>"16020"</f>
        <v>16020</v>
      </c>
      <c r="B1601" t="s">
        <v>2561</v>
      </c>
      <c r="C1601" t="s">
        <v>2562</v>
      </c>
      <c r="D1601" t="str">
        <f>"2491"</f>
        <v>2491</v>
      </c>
      <c r="E1601" t="s">
        <v>821</v>
      </c>
    </row>
    <row r="1602" spans="1:5" x14ac:dyDescent="0.25">
      <c r="A1602" t="str">
        <f>"16048"</f>
        <v>16048</v>
      </c>
      <c r="B1602" t="s">
        <v>2563</v>
      </c>
      <c r="C1602" t="s">
        <v>2564</v>
      </c>
      <c r="D1602" t="str">
        <f>"5081"</f>
        <v>5081</v>
      </c>
      <c r="E1602" t="s">
        <v>824</v>
      </c>
    </row>
    <row r="1603" spans="1:5" x14ac:dyDescent="0.25">
      <c r="A1603" t="str">
        <f>"16048"</f>
        <v>16048</v>
      </c>
      <c r="B1603" t="s">
        <v>2563</v>
      </c>
      <c r="C1603" t="s">
        <v>2565</v>
      </c>
      <c r="D1603" t="str">
        <f>"5236"</f>
        <v>5236</v>
      </c>
      <c r="E1603" t="s">
        <v>821</v>
      </c>
    </row>
    <row r="1604" spans="1:5" x14ac:dyDescent="0.25">
      <c r="A1604" t="str">
        <f>"16048"</f>
        <v>16048</v>
      </c>
      <c r="B1604" t="s">
        <v>2563</v>
      </c>
      <c r="C1604" t="s">
        <v>2566</v>
      </c>
      <c r="D1604" t="str">
        <f>"2474"</f>
        <v>2474</v>
      </c>
      <c r="E1604" t="s">
        <v>851</v>
      </c>
    </row>
    <row r="1605" spans="1:5" x14ac:dyDescent="0.25">
      <c r="A1605" t="str">
        <f>"05903"</f>
        <v>05903</v>
      </c>
      <c r="B1605" t="s">
        <v>2567</v>
      </c>
      <c r="C1605" t="s">
        <v>2568</v>
      </c>
      <c r="D1605" t="str">
        <f>"5430"</f>
        <v>5430</v>
      </c>
      <c r="E1605" t="s">
        <v>859</v>
      </c>
    </row>
    <row r="1606" spans="1:5" x14ac:dyDescent="0.25">
      <c r="A1606" t="str">
        <f t="shared" ref="A1606:A1612" si="79">"05402"</f>
        <v>05402</v>
      </c>
      <c r="B1606" t="s">
        <v>2569</v>
      </c>
      <c r="C1606" t="s">
        <v>2570</v>
      </c>
      <c r="D1606" t="str">
        <f>"1671"</f>
        <v>1671</v>
      </c>
      <c r="E1606" t="s">
        <v>859</v>
      </c>
    </row>
    <row r="1607" spans="1:5" x14ac:dyDescent="0.25">
      <c r="A1607" t="str">
        <f t="shared" si="79"/>
        <v>05402</v>
      </c>
      <c r="B1607" t="s">
        <v>2569</v>
      </c>
      <c r="C1607" t="s">
        <v>2571</v>
      </c>
      <c r="D1607" t="str">
        <f>"1500"</f>
        <v>1500</v>
      </c>
      <c r="E1607" t="s">
        <v>824</v>
      </c>
    </row>
    <row r="1608" spans="1:5" x14ac:dyDescent="0.25">
      <c r="A1608" t="str">
        <f t="shared" si="79"/>
        <v>05402</v>
      </c>
      <c r="B1608" t="s">
        <v>2569</v>
      </c>
      <c r="C1608" t="s">
        <v>2572</v>
      </c>
      <c r="D1608" t="str">
        <f>"3737"</f>
        <v>3737</v>
      </c>
      <c r="E1608" t="s">
        <v>818</v>
      </c>
    </row>
    <row r="1609" spans="1:5" x14ac:dyDescent="0.25">
      <c r="A1609" t="str">
        <f t="shared" si="79"/>
        <v>05402</v>
      </c>
      <c r="B1609" t="s">
        <v>2569</v>
      </c>
      <c r="C1609" t="s">
        <v>2573</v>
      </c>
      <c r="D1609" t="str">
        <f>"5363"</f>
        <v>5363</v>
      </c>
      <c r="E1609" t="s">
        <v>818</v>
      </c>
    </row>
    <row r="1610" spans="1:5" x14ac:dyDescent="0.25">
      <c r="A1610" t="str">
        <f t="shared" si="79"/>
        <v>05402</v>
      </c>
      <c r="B1610" t="s">
        <v>2569</v>
      </c>
      <c r="C1610" t="s">
        <v>2574</v>
      </c>
      <c r="D1610" t="str">
        <f>"2349"</f>
        <v>2349</v>
      </c>
      <c r="E1610" t="s">
        <v>821</v>
      </c>
    </row>
    <row r="1611" spans="1:5" x14ac:dyDescent="0.25">
      <c r="A1611" t="str">
        <f t="shared" si="79"/>
        <v>05402</v>
      </c>
      <c r="B1611" t="s">
        <v>2569</v>
      </c>
      <c r="C1611" t="s">
        <v>2575</v>
      </c>
      <c r="D1611" t="str">
        <f>"5529"</f>
        <v>5529</v>
      </c>
      <c r="E1611" t="s">
        <v>824</v>
      </c>
    </row>
    <row r="1612" spans="1:5" x14ac:dyDescent="0.25">
      <c r="A1612" t="str">
        <f t="shared" si="79"/>
        <v>05402</v>
      </c>
      <c r="B1612" t="s">
        <v>2569</v>
      </c>
      <c r="C1612" t="s">
        <v>2576</v>
      </c>
      <c r="D1612" t="str">
        <f>"5071"</f>
        <v>5071</v>
      </c>
      <c r="E1612" t="s">
        <v>824</v>
      </c>
    </row>
    <row r="1613" spans="1:5" x14ac:dyDescent="0.25">
      <c r="A1613" t="str">
        <f t="shared" ref="A1613:A1619" si="80">"13144"</f>
        <v>13144</v>
      </c>
      <c r="B1613" t="s">
        <v>2577</v>
      </c>
      <c r="C1613" t="s">
        <v>2578</v>
      </c>
      <c r="D1613" t="str">
        <f>"3426"</f>
        <v>3426</v>
      </c>
      <c r="E1613" t="s">
        <v>818</v>
      </c>
    </row>
    <row r="1614" spans="1:5" x14ac:dyDescent="0.25">
      <c r="A1614" t="str">
        <f t="shared" si="80"/>
        <v>13144</v>
      </c>
      <c r="B1614" t="s">
        <v>2577</v>
      </c>
      <c r="C1614" t="s">
        <v>2579</v>
      </c>
      <c r="D1614" t="str">
        <f>"4536"</f>
        <v>4536</v>
      </c>
      <c r="E1614" t="s">
        <v>818</v>
      </c>
    </row>
    <row r="1615" spans="1:5" x14ac:dyDescent="0.25">
      <c r="A1615" t="str">
        <f t="shared" si="80"/>
        <v>13144</v>
      </c>
      <c r="B1615" t="s">
        <v>2577</v>
      </c>
      <c r="C1615" t="s">
        <v>2281</v>
      </c>
      <c r="D1615" t="str">
        <f>"3020"</f>
        <v>3020</v>
      </c>
      <c r="E1615" t="s">
        <v>818</v>
      </c>
    </row>
    <row r="1616" spans="1:5" x14ac:dyDescent="0.25">
      <c r="A1616" t="str">
        <f t="shared" si="80"/>
        <v>13144</v>
      </c>
      <c r="B1616" t="s">
        <v>2577</v>
      </c>
      <c r="C1616" t="s">
        <v>855</v>
      </c>
      <c r="D1616" t="str">
        <f>"2919"</f>
        <v>2919</v>
      </c>
      <c r="E1616" t="s">
        <v>818</v>
      </c>
    </row>
    <row r="1617" spans="1:5" x14ac:dyDescent="0.25">
      <c r="A1617" t="str">
        <f t="shared" si="80"/>
        <v>13144</v>
      </c>
      <c r="B1617" t="s">
        <v>2577</v>
      </c>
      <c r="C1617" t="s">
        <v>2580</v>
      </c>
      <c r="D1617" t="str">
        <f>"3088"</f>
        <v>3088</v>
      </c>
      <c r="E1617" t="s">
        <v>824</v>
      </c>
    </row>
    <row r="1618" spans="1:5" x14ac:dyDescent="0.25">
      <c r="A1618" t="str">
        <f t="shared" si="80"/>
        <v>13144</v>
      </c>
      <c r="B1618" t="s">
        <v>2577</v>
      </c>
      <c r="C1618" t="s">
        <v>2581</v>
      </c>
      <c r="D1618" t="str">
        <f>"1506"</f>
        <v>1506</v>
      </c>
      <c r="E1618" t="s">
        <v>824</v>
      </c>
    </row>
    <row r="1619" spans="1:5" x14ac:dyDescent="0.25">
      <c r="A1619" t="str">
        <f t="shared" si="80"/>
        <v>13144</v>
      </c>
      <c r="B1619" t="s">
        <v>2577</v>
      </c>
      <c r="C1619" t="s">
        <v>2582</v>
      </c>
      <c r="D1619" t="str">
        <f>"2510"</f>
        <v>2510</v>
      </c>
      <c r="E1619" t="s">
        <v>830</v>
      </c>
    </row>
    <row r="1620" spans="1:5" x14ac:dyDescent="0.25">
      <c r="A1620" t="str">
        <f>"17908"</f>
        <v>17908</v>
      </c>
      <c r="B1620" t="s">
        <v>2583</v>
      </c>
      <c r="C1620" t="s">
        <v>2584</v>
      </c>
      <c r="D1620" t="str">
        <f>"5380"</f>
        <v>5380</v>
      </c>
      <c r="E1620" t="s">
        <v>830</v>
      </c>
    </row>
    <row r="1621" spans="1:5" x14ac:dyDescent="0.25">
      <c r="A1621" t="str">
        <f>"34307"</f>
        <v>34307</v>
      </c>
      <c r="B1621" t="s">
        <v>2585</v>
      </c>
      <c r="C1621" t="s">
        <v>1246</v>
      </c>
      <c r="D1621" t="str">
        <f>"4486"</f>
        <v>4486</v>
      </c>
      <c r="E1621" t="s">
        <v>818</v>
      </c>
    </row>
    <row r="1622" spans="1:5" x14ac:dyDescent="0.25">
      <c r="A1622" t="str">
        <f>"34307"</f>
        <v>34307</v>
      </c>
      <c r="B1622" t="s">
        <v>2585</v>
      </c>
      <c r="C1622" t="s">
        <v>884</v>
      </c>
      <c r="D1622" t="str">
        <f>"2158"</f>
        <v>2158</v>
      </c>
      <c r="E1622" t="s">
        <v>830</v>
      </c>
    </row>
    <row r="1623" spans="1:5" x14ac:dyDescent="0.25">
      <c r="A1623" t="str">
        <f>"34307"</f>
        <v>34307</v>
      </c>
      <c r="B1623" t="s">
        <v>2585</v>
      </c>
      <c r="C1623" t="s">
        <v>2586</v>
      </c>
      <c r="D1623" t="str">
        <f>"2468"</f>
        <v>2468</v>
      </c>
      <c r="E1623" t="s">
        <v>824</v>
      </c>
    </row>
    <row r="1624" spans="1:5" x14ac:dyDescent="0.25">
      <c r="A1624" t="str">
        <f>"25116"</f>
        <v>25116</v>
      </c>
      <c r="B1624" t="s">
        <v>2587</v>
      </c>
      <c r="C1624" t="s">
        <v>2588</v>
      </c>
      <c r="D1624" t="str">
        <f>"1672"</f>
        <v>1672</v>
      </c>
      <c r="E1624" t="s">
        <v>826</v>
      </c>
    </row>
    <row r="1625" spans="1:5" x14ac:dyDescent="0.25">
      <c r="A1625" t="str">
        <f>"25116"</f>
        <v>25116</v>
      </c>
      <c r="B1625" t="s">
        <v>2587</v>
      </c>
      <c r="C1625" t="s">
        <v>2589</v>
      </c>
      <c r="D1625" t="str">
        <f>"2803"</f>
        <v>2803</v>
      </c>
      <c r="E1625" t="s">
        <v>818</v>
      </c>
    </row>
    <row r="1626" spans="1:5" x14ac:dyDescent="0.25">
      <c r="A1626" t="str">
        <f>"25116"</f>
        <v>25116</v>
      </c>
      <c r="B1626" t="s">
        <v>2587</v>
      </c>
      <c r="C1626" t="s">
        <v>2590</v>
      </c>
      <c r="D1626" t="str">
        <f>"2357"</f>
        <v>2357</v>
      </c>
      <c r="E1626" t="s">
        <v>821</v>
      </c>
    </row>
    <row r="1627" spans="1:5" x14ac:dyDescent="0.25">
      <c r="A1627" t="str">
        <f>"22009"</f>
        <v>22009</v>
      </c>
      <c r="B1627" t="s">
        <v>2591</v>
      </c>
      <c r="C1627" t="s">
        <v>2592</v>
      </c>
      <c r="D1627" t="str">
        <f>"2864"</f>
        <v>2864</v>
      </c>
      <c r="E1627" t="s">
        <v>818</v>
      </c>
    </row>
    <row r="1628" spans="1:5" x14ac:dyDescent="0.25">
      <c r="A1628" t="str">
        <f>"22009"</f>
        <v>22009</v>
      </c>
      <c r="B1628" t="s">
        <v>2591</v>
      </c>
      <c r="C1628" t="s">
        <v>2593</v>
      </c>
      <c r="D1628" t="str">
        <f>"2478"</f>
        <v>2478</v>
      </c>
      <c r="E1628" t="s">
        <v>821</v>
      </c>
    </row>
    <row r="1629" spans="1:5" x14ac:dyDescent="0.25">
      <c r="A1629" t="str">
        <f t="shared" ref="A1629:A1657" si="81">"17403"</f>
        <v>17403</v>
      </c>
      <c r="B1629" t="s">
        <v>2594</v>
      </c>
      <c r="C1629" t="s">
        <v>2595</v>
      </c>
      <c r="D1629" t="str">
        <f>"3587"</f>
        <v>3587</v>
      </c>
      <c r="E1629" t="s">
        <v>818</v>
      </c>
    </row>
    <row r="1630" spans="1:5" x14ac:dyDescent="0.25">
      <c r="A1630" t="str">
        <f t="shared" si="81"/>
        <v>17403</v>
      </c>
      <c r="B1630" t="s">
        <v>2594</v>
      </c>
      <c r="C1630" t="s">
        <v>2596</v>
      </c>
      <c r="D1630" t="str">
        <f>"2439"</f>
        <v>2439</v>
      </c>
      <c r="E1630" t="s">
        <v>818</v>
      </c>
    </row>
    <row r="1631" spans="1:5" x14ac:dyDescent="0.25">
      <c r="A1631" t="str">
        <f t="shared" si="81"/>
        <v>17403</v>
      </c>
      <c r="B1631" t="s">
        <v>2594</v>
      </c>
      <c r="C1631" t="s">
        <v>2597</v>
      </c>
      <c r="D1631" t="str">
        <f>"3034"</f>
        <v>3034</v>
      </c>
      <c r="E1631" t="s">
        <v>818</v>
      </c>
    </row>
    <row r="1632" spans="1:5" x14ac:dyDescent="0.25">
      <c r="A1632" t="str">
        <f t="shared" si="81"/>
        <v>17403</v>
      </c>
      <c r="B1632" t="s">
        <v>2594</v>
      </c>
      <c r="C1632" t="s">
        <v>1797</v>
      </c>
      <c r="D1632" t="str">
        <f>"3337"</f>
        <v>3337</v>
      </c>
      <c r="E1632" t="s">
        <v>818</v>
      </c>
    </row>
    <row r="1633" spans="1:5" x14ac:dyDescent="0.25">
      <c r="A1633" t="str">
        <f t="shared" si="81"/>
        <v>17403</v>
      </c>
      <c r="B1633" t="s">
        <v>2594</v>
      </c>
      <c r="C1633" t="s">
        <v>2598</v>
      </c>
      <c r="D1633" t="str">
        <f>"3280"</f>
        <v>3280</v>
      </c>
      <c r="E1633" t="s">
        <v>830</v>
      </c>
    </row>
    <row r="1634" spans="1:5" x14ac:dyDescent="0.25">
      <c r="A1634" t="str">
        <f t="shared" si="81"/>
        <v>17403</v>
      </c>
      <c r="B1634" t="s">
        <v>2594</v>
      </c>
      <c r="C1634" t="s">
        <v>2599</v>
      </c>
      <c r="D1634" t="str">
        <f>"1534"</f>
        <v>1534</v>
      </c>
      <c r="E1634" t="s">
        <v>821</v>
      </c>
    </row>
    <row r="1635" spans="1:5" x14ac:dyDescent="0.25">
      <c r="A1635" t="str">
        <f t="shared" si="81"/>
        <v>17403</v>
      </c>
      <c r="B1635" t="s">
        <v>2594</v>
      </c>
      <c r="C1635" t="s">
        <v>2600</v>
      </c>
      <c r="D1635" t="str">
        <f>"1784"</f>
        <v>1784</v>
      </c>
      <c r="E1635" t="s">
        <v>859</v>
      </c>
    </row>
    <row r="1636" spans="1:5" x14ac:dyDescent="0.25">
      <c r="A1636" t="str">
        <f t="shared" si="81"/>
        <v>17403</v>
      </c>
      <c r="B1636" t="s">
        <v>2594</v>
      </c>
      <c r="C1636" t="s">
        <v>876</v>
      </c>
      <c r="D1636" t="str">
        <f>"3485"</f>
        <v>3485</v>
      </c>
      <c r="E1636" t="s">
        <v>818</v>
      </c>
    </row>
    <row r="1637" spans="1:5" x14ac:dyDescent="0.25">
      <c r="A1637" t="str">
        <f t="shared" si="81"/>
        <v>17403</v>
      </c>
      <c r="B1637" t="s">
        <v>2594</v>
      </c>
      <c r="C1637" t="s">
        <v>2601</v>
      </c>
      <c r="D1637" t="str">
        <f>"3630"</f>
        <v>3630</v>
      </c>
      <c r="E1637" t="s">
        <v>824</v>
      </c>
    </row>
    <row r="1638" spans="1:5" x14ac:dyDescent="0.25">
      <c r="A1638" t="str">
        <f t="shared" si="81"/>
        <v>17403</v>
      </c>
      <c r="B1638" t="s">
        <v>2594</v>
      </c>
      <c r="C1638" t="s">
        <v>2602</v>
      </c>
      <c r="D1638" t="str">
        <f>"2640"</f>
        <v>2640</v>
      </c>
      <c r="E1638" t="s">
        <v>818</v>
      </c>
    </row>
    <row r="1639" spans="1:5" x14ac:dyDescent="0.25">
      <c r="A1639" t="str">
        <f t="shared" si="81"/>
        <v>17403</v>
      </c>
      <c r="B1639" t="s">
        <v>2594</v>
      </c>
      <c r="C1639" t="s">
        <v>2603</v>
      </c>
      <c r="D1639" t="str">
        <f>"5229"</f>
        <v>5229</v>
      </c>
      <c r="E1639" t="s">
        <v>818</v>
      </c>
    </row>
    <row r="1640" spans="1:5" x14ac:dyDescent="0.25">
      <c r="A1640" t="str">
        <f t="shared" si="81"/>
        <v>17403</v>
      </c>
      <c r="B1640" t="s">
        <v>2594</v>
      </c>
      <c r="C1640" t="s">
        <v>2604</v>
      </c>
      <c r="D1640" t="str">
        <f>"2597"</f>
        <v>2597</v>
      </c>
      <c r="E1640" t="s">
        <v>818</v>
      </c>
    </row>
    <row r="1641" spans="1:5" x14ac:dyDescent="0.25">
      <c r="A1641" t="str">
        <f t="shared" si="81"/>
        <v>17403</v>
      </c>
      <c r="B1641" t="s">
        <v>2594</v>
      </c>
      <c r="C1641" t="s">
        <v>2095</v>
      </c>
      <c r="D1641" t="str">
        <f>"2929"</f>
        <v>2929</v>
      </c>
      <c r="E1641" t="s">
        <v>818</v>
      </c>
    </row>
    <row r="1642" spans="1:5" x14ac:dyDescent="0.25">
      <c r="A1642" t="str">
        <f t="shared" si="81"/>
        <v>17403</v>
      </c>
      <c r="B1642" t="s">
        <v>2594</v>
      </c>
      <c r="C1642" t="s">
        <v>2605</v>
      </c>
      <c r="D1642" t="str">
        <f>"3741"</f>
        <v>3741</v>
      </c>
      <c r="E1642" t="s">
        <v>824</v>
      </c>
    </row>
    <row r="1643" spans="1:5" x14ac:dyDescent="0.25">
      <c r="A1643" t="str">
        <f t="shared" si="81"/>
        <v>17403</v>
      </c>
      <c r="B1643" t="s">
        <v>2594</v>
      </c>
      <c r="C1643" t="s">
        <v>2606</v>
      </c>
      <c r="D1643" t="str">
        <f>"3586"</f>
        <v>3586</v>
      </c>
      <c r="E1643" t="s">
        <v>818</v>
      </c>
    </row>
    <row r="1644" spans="1:5" x14ac:dyDescent="0.25">
      <c r="A1644" t="str">
        <f t="shared" si="81"/>
        <v>17403</v>
      </c>
      <c r="B1644" t="s">
        <v>2594</v>
      </c>
      <c r="C1644" t="s">
        <v>2607</v>
      </c>
      <c r="D1644" t="str">
        <f>"3035"</f>
        <v>3035</v>
      </c>
      <c r="E1644" t="s">
        <v>830</v>
      </c>
    </row>
    <row r="1645" spans="1:5" x14ac:dyDescent="0.25">
      <c r="A1645" t="str">
        <f t="shared" si="81"/>
        <v>17403</v>
      </c>
      <c r="B1645" t="s">
        <v>2594</v>
      </c>
      <c r="C1645" t="s">
        <v>2608</v>
      </c>
      <c r="D1645" t="str">
        <f>"5313"</f>
        <v>5313</v>
      </c>
      <c r="E1645" t="s">
        <v>826</v>
      </c>
    </row>
    <row r="1646" spans="1:5" x14ac:dyDescent="0.25">
      <c r="A1646" t="str">
        <f t="shared" si="81"/>
        <v>17403</v>
      </c>
      <c r="B1646" t="s">
        <v>2594</v>
      </c>
      <c r="C1646" t="s">
        <v>2609</v>
      </c>
      <c r="D1646" t="str">
        <f>"3434"</f>
        <v>3434</v>
      </c>
      <c r="E1646" t="s">
        <v>830</v>
      </c>
    </row>
    <row r="1647" spans="1:5" x14ac:dyDescent="0.25">
      <c r="A1647" t="str">
        <f t="shared" si="81"/>
        <v>17403</v>
      </c>
      <c r="B1647" t="s">
        <v>2594</v>
      </c>
      <c r="C1647" t="s">
        <v>2610</v>
      </c>
      <c r="D1647" t="str">
        <f>"5335"</f>
        <v>5335</v>
      </c>
      <c r="E1647" t="s">
        <v>824</v>
      </c>
    </row>
    <row r="1648" spans="1:5" x14ac:dyDescent="0.25">
      <c r="A1648" t="str">
        <f t="shared" si="81"/>
        <v>17403</v>
      </c>
      <c r="B1648" t="s">
        <v>2594</v>
      </c>
      <c r="C1648" t="s">
        <v>2611</v>
      </c>
      <c r="D1648" t="str">
        <f>"1648"</f>
        <v>1648</v>
      </c>
      <c r="E1648" t="s">
        <v>851</v>
      </c>
    </row>
    <row r="1649" spans="1:5" x14ac:dyDescent="0.25">
      <c r="A1649" t="str">
        <f t="shared" si="81"/>
        <v>17403</v>
      </c>
      <c r="B1649" t="s">
        <v>2594</v>
      </c>
      <c r="C1649" t="s">
        <v>2612</v>
      </c>
      <c r="D1649" t="str">
        <f>"5070"</f>
        <v>5070</v>
      </c>
      <c r="E1649" t="s">
        <v>859</v>
      </c>
    </row>
    <row r="1650" spans="1:5" x14ac:dyDescent="0.25">
      <c r="A1650" t="str">
        <f t="shared" si="81"/>
        <v>17403</v>
      </c>
      <c r="B1650" t="s">
        <v>2594</v>
      </c>
      <c r="C1650" t="s">
        <v>2613</v>
      </c>
      <c r="D1650" t="str">
        <f>"3521"</f>
        <v>3521</v>
      </c>
      <c r="E1650" t="s">
        <v>818</v>
      </c>
    </row>
    <row r="1651" spans="1:5" x14ac:dyDescent="0.25">
      <c r="A1651" t="str">
        <f t="shared" si="81"/>
        <v>17403</v>
      </c>
      <c r="B1651" t="s">
        <v>2594</v>
      </c>
      <c r="C1651" t="s">
        <v>2614</v>
      </c>
      <c r="D1651" t="str">
        <f>"2475"</f>
        <v>2475</v>
      </c>
      <c r="E1651" t="s">
        <v>824</v>
      </c>
    </row>
    <row r="1652" spans="1:5" x14ac:dyDescent="0.25">
      <c r="A1652" t="str">
        <f t="shared" si="81"/>
        <v>17403</v>
      </c>
      <c r="B1652" t="s">
        <v>2594</v>
      </c>
      <c r="C1652" t="s">
        <v>2615</v>
      </c>
      <c r="D1652" t="str">
        <f>"5484"</f>
        <v>5484</v>
      </c>
      <c r="E1652" t="s">
        <v>830</v>
      </c>
    </row>
    <row r="1653" spans="1:5" x14ac:dyDescent="0.25">
      <c r="A1653" t="str">
        <f t="shared" si="81"/>
        <v>17403</v>
      </c>
      <c r="B1653" t="s">
        <v>2594</v>
      </c>
      <c r="C1653" t="s">
        <v>2616</v>
      </c>
      <c r="D1653" t="str">
        <f>"5519"</f>
        <v>5519</v>
      </c>
      <c r="E1653" t="s">
        <v>818</v>
      </c>
    </row>
    <row r="1654" spans="1:5" x14ac:dyDescent="0.25">
      <c r="A1654" t="str">
        <f t="shared" si="81"/>
        <v>17403</v>
      </c>
      <c r="B1654" t="s">
        <v>2594</v>
      </c>
      <c r="C1654" t="s">
        <v>2617</v>
      </c>
      <c r="D1654" t="str">
        <f>"3668"</f>
        <v>3668</v>
      </c>
      <c r="E1654" t="s">
        <v>818</v>
      </c>
    </row>
    <row r="1655" spans="1:5" x14ac:dyDescent="0.25">
      <c r="A1655" t="str">
        <f t="shared" si="81"/>
        <v>17403</v>
      </c>
      <c r="B1655" t="s">
        <v>2594</v>
      </c>
      <c r="C1655" t="s">
        <v>2618</v>
      </c>
      <c r="D1655" t="str">
        <f>"3740"</f>
        <v>3740</v>
      </c>
      <c r="E1655" t="s">
        <v>818</v>
      </c>
    </row>
    <row r="1656" spans="1:5" x14ac:dyDescent="0.25">
      <c r="A1656" t="str">
        <f t="shared" si="81"/>
        <v>17403</v>
      </c>
      <c r="B1656" t="s">
        <v>2594</v>
      </c>
      <c r="C1656" t="s">
        <v>2619</v>
      </c>
      <c r="D1656" t="str">
        <f>"5282"</f>
        <v>5282</v>
      </c>
      <c r="E1656" t="s">
        <v>824</v>
      </c>
    </row>
    <row r="1657" spans="1:5" x14ac:dyDescent="0.25">
      <c r="A1657" t="str">
        <f t="shared" si="81"/>
        <v>17403</v>
      </c>
      <c r="B1657" t="s">
        <v>2594</v>
      </c>
      <c r="C1657" t="s">
        <v>2620</v>
      </c>
      <c r="D1657" t="str">
        <f>"3702"</f>
        <v>3702</v>
      </c>
      <c r="E1657" t="s">
        <v>818</v>
      </c>
    </row>
    <row r="1658" spans="1:5" x14ac:dyDescent="0.25">
      <c r="A1658" t="str">
        <f>"10309"</f>
        <v>10309</v>
      </c>
      <c r="B1658" t="s">
        <v>2621</v>
      </c>
      <c r="C1658" t="s">
        <v>2622</v>
      </c>
      <c r="D1658" t="str">
        <f>"2789"</f>
        <v>2789</v>
      </c>
      <c r="E1658" t="s">
        <v>818</v>
      </c>
    </row>
    <row r="1659" spans="1:5" x14ac:dyDescent="0.25">
      <c r="A1659" t="str">
        <f>"10309"</f>
        <v>10309</v>
      </c>
      <c r="B1659" t="s">
        <v>2621</v>
      </c>
      <c r="C1659" t="s">
        <v>2623</v>
      </c>
      <c r="D1659" t="str">
        <f>"3559"</f>
        <v>3559</v>
      </c>
      <c r="E1659" t="s">
        <v>830</v>
      </c>
    </row>
    <row r="1660" spans="1:5" x14ac:dyDescent="0.25">
      <c r="A1660" t="str">
        <f>"10309"</f>
        <v>10309</v>
      </c>
      <c r="B1660" t="s">
        <v>2621</v>
      </c>
      <c r="C1660" t="s">
        <v>2624</v>
      </c>
      <c r="D1660" t="str">
        <f>"1898"</f>
        <v>1898</v>
      </c>
      <c r="E1660" t="s">
        <v>821</v>
      </c>
    </row>
    <row r="1661" spans="1:5" x14ac:dyDescent="0.25">
      <c r="A1661" t="str">
        <f>"10309"</f>
        <v>10309</v>
      </c>
      <c r="B1661" t="s">
        <v>2621</v>
      </c>
      <c r="C1661" t="s">
        <v>2625</v>
      </c>
      <c r="D1661" t="str">
        <f>"3579"</f>
        <v>3579</v>
      </c>
      <c r="E1661" t="s">
        <v>824</v>
      </c>
    </row>
    <row r="1662" spans="1:5" x14ac:dyDescent="0.25">
      <c r="A1662" t="str">
        <f t="shared" ref="A1662:A1682" si="82">"03400"</f>
        <v>03400</v>
      </c>
      <c r="B1662" t="s">
        <v>2626</v>
      </c>
      <c r="C1662" t="s">
        <v>2627</v>
      </c>
      <c r="D1662" t="str">
        <f>"4060"</f>
        <v>4060</v>
      </c>
      <c r="E1662" t="s">
        <v>818</v>
      </c>
    </row>
    <row r="1663" spans="1:5" x14ac:dyDescent="0.25">
      <c r="A1663" t="str">
        <f t="shared" si="82"/>
        <v>03400</v>
      </c>
      <c r="B1663" t="s">
        <v>2626</v>
      </c>
      <c r="C1663" t="s">
        <v>2628</v>
      </c>
      <c r="D1663" t="str">
        <f>"2721"</f>
        <v>2721</v>
      </c>
      <c r="E1663" t="s">
        <v>830</v>
      </c>
    </row>
    <row r="1664" spans="1:5" x14ac:dyDescent="0.25">
      <c r="A1664" t="str">
        <f t="shared" si="82"/>
        <v>03400</v>
      </c>
      <c r="B1664" t="s">
        <v>2626</v>
      </c>
      <c r="C1664" t="s">
        <v>2629</v>
      </c>
      <c r="D1664" t="str">
        <f>"2785"</f>
        <v>2785</v>
      </c>
      <c r="E1664" t="s">
        <v>830</v>
      </c>
    </row>
    <row r="1665" spans="1:5" x14ac:dyDescent="0.25">
      <c r="A1665" t="str">
        <f t="shared" si="82"/>
        <v>03400</v>
      </c>
      <c r="B1665" t="s">
        <v>2626</v>
      </c>
      <c r="C1665" t="s">
        <v>2630</v>
      </c>
      <c r="D1665" t="str">
        <f>"3926"</f>
        <v>3926</v>
      </c>
      <c r="E1665" t="s">
        <v>830</v>
      </c>
    </row>
    <row r="1666" spans="1:5" x14ac:dyDescent="0.25">
      <c r="A1666" t="str">
        <f t="shared" si="82"/>
        <v>03400</v>
      </c>
      <c r="B1666" t="s">
        <v>2626</v>
      </c>
      <c r="C1666" t="s">
        <v>2631</v>
      </c>
      <c r="D1666" t="str">
        <f>"3833"</f>
        <v>3833</v>
      </c>
      <c r="E1666" t="s">
        <v>824</v>
      </c>
    </row>
    <row r="1667" spans="1:5" x14ac:dyDescent="0.25">
      <c r="A1667" t="str">
        <f t="shared" si="82"/>
        <v>03400</v>
      </c>
      <c r="B1667" t="s">
        <v>2626</v>
      </c>
      <c r="C1667" t="s">
        <v>2632</v>
      </c>
      <c r="D1667" t="str">
        <f>"2786"</f>
        <v>2786</v>
      </c>
      <c r="E1667" t="s">
        <v>818</v>
      </c>
    </row>
    <row r="1668" spans="1:5" x14ac:dyDescent="0.25">
      <c r="A1668" t="str">
        <f t="shared" si="82"/>
        <v>03400</v>
      </c>
      <c r="B1668" t="s">
        <v>2626</v>
      </c>
      <c r="C1668" t="s">
        <v>1484</v>
      </c>
      <c r="D1668" t="str">
        <f>"2642"</f>
        <v>2642</v>
      </c>
      <c r="E1668" t="s">
        <v>818</v>
      </c>
    </row>
    <row r="1669" spans="1:5" x14ac:dyDescent="0.25">
      <c r="A1669" t="str">
        <f t="shared" si="82"/>
        <v>03400</v>
      </c>
      <c r="B1669" t="s">
        <v>2626</v>
      </c>
      <c r="C1669" t="s">
        <v>2633</v>
      </c>
      <c r="D1669" t="str">
        <f>"5493"</f>
        <v>5493</v>
      </c>
      <c r="E1669" t="s">
        <v>830</v>
      </c>
    </row>
    <row r="1670" spans="1:5" x14ac:dyDescent="0.25">
      <c r="A1670" t="str">
        <f t="shared" si="82"/>
        <v>03400</v>
      </c>
      <c r="B1670" t="s">
        <v>2626</v>
      </c>
      <c r="C1670" t="s">
        <v>2634</v>
      </c>
      <c r="D1670" t="str">
        <f>"2657"</f>
        <v>2657</v>
      </c>
      <c r="E1670" t="s">
        <v>818</v>
      </c>
    </row>
    <row r="1671" spans="1:5" x14ac:dyDescent="0.25">
      <c r="A1671" t="str">
        <f t="shared" si="82"/>
        <v>03400</v>
      </c>
      <c r="B1671" t="s">
        <v>2626</v>
      </c>
      <c r="C1671" t="s">
        <v>2635</v>
      </c>
      <c r="D1671" t="str">
        <f>"2656"</f>
        <v>2656</v>
      </c>
      <c r="E1671" t="s">
        <v>818</v>
      </c>
    </row>
    <row r="1672" spans="1:5" x14ac:dyDescent="0.25">
      <c r="A1672" t="str">
        <f t="shared" si="82"/>
        <v>03400</v>
      </c>
      <c r="B1672" t="s">
        <v>2626</v>
      </c>
      <c r="C1672" t="s">
        <v>2636</v>
      </c>
      <c r="D1672" t="str">
        <f>"5419"</f>
        <v>5419</v>
      </c>
      <c r="E1672" t="s">
        <v>818</v>
      </c>
    </row>
    <row r="1673" spans="1:5" x14ac:dyDescent="0.25">
      <c r="A1673" t="str">
        <f t="shared" si="82"/>
        <v>03400</v>
      </c>
      <c r="B1673" t="s">
        <v>2626</v>
      </c>
      <c r="C1673" t="s">
        <v>2637</v>
      </c>
      <c r="D1673" t="str">
        <f>"3511"</f>
        <v>3511</v>
      </c>
      <c r="E1673" t="s">
        <v>824</v>
      </c>
    </row>
    <row r="1674" spans="1:5" x14ac:dyDescent="0.25">
      <c r="A1674" t="str">
        <f t="shared" si="82"/>
        <v>03400</v>
      </c>
      <c r="B1674" t="s">
        <v>2626</v>
      </c>
      <c r="C1674" t="s">
        <v>2638</v>
      </c>
      <c r="D1674" t="str">
        <f>"5526"</f>
        <v>5526</v>
      </c>
      <c r="E1674" t="s">
        <v>826</v>
      </c>
    </row>
    <row r="1675" spans="1:5" x14ac:dyDescent="0.25">
      <c r="A1675" t="str">
        <f t="shared" si="82"/>
        <v>03400</v>
      </c>
      <c r="B1675" t="s">
        <v>2626</v>
      </c>
      <c r="C1675" t="s">
        <v>2639</v>
      </c>
      <c r="D1675" t="str">
        <f>"4295"</f>
        <v>4295</v>
      </c>
      <c r="E1675" t="s">
        <v>821</v>
      </c>
    </row>
    <row r="1676" spans="1:5" x14ac:dyDescent="0.25">
      <c r="A1676" t="str">
        <f t="shared" si="82"/>
        <v>03400</v>
      </c>
      <c r="B1676" t="s">
        <v>2626</v>
      </c>
      <c r="C1676" t="s">
        <v>2640</v>
      </c>
      <c r="D1676" t="str">
        <f>"3732"</f>
        <v>3732</v>
      </c>
      <c r="E1676" t="s">
        <v>818</v>
      </c>
    </row>
    <row r="1677" spans="1:5" x14ac:dyDescent="0.25">
      <c r="A1677" t="str">
        <f t="shared" si="82"/>
        <v>03400</v>
      </c>
      <c r="B1677" t="s">
        <v>2626</v>
      </c>
      <c r="C1677" t="s">
        <v>2258</v>
      </c>
      <c r="D1677" t="str">
        <f>"2001"</f>
        <v>2001</v>
      </c>
      <c r="E1677" t="s">
        <v>851</v>
      </c>
    </row>
    <row r="1678" spans="1:5" x14ac:dyDescent="0.25">
      <c r="A1678" t="str">
        <f t="shared" si="82"/>
        <v>03400</v>
      </c>
      <c r="B1678" t="s">
        <v>2626</v>
      </c>
      <c r="C1678" t="s">
        <v>2641</v>
      </c>
      <c r="D1678" t="str">
        <f>"4059"</f>
        <v>4059</v>
      </c>
      <c r="E1678" t="s">
        <v>818</v>
      </c>
    </row>
    <row r="1679" spans="1:5" x14ac:dyDescent="0.25">
      <c r="A1679" t="str">
        <f t="shared" si="82"/>
        <v>03400</v>
      </c>
      <c r="B1679" t="s">
        <v>2626</v>
      </c>
      <c r="C1679" t="s">
        <v>2642</v>
      </c>
      <c r="D1679" t="str">
        <f>"5165"</f>
        <v>5165</v>
      </c>
      <c r="E1679" t="s">
        <v>859</v>
      </c>
    </row>
    <row r="1680" spans="1:5" x14ac:dyDescent="0.25">
      <c r="A1680" t="str">
        <f t="shared" si="82"/>
        <v>03400</v>
      </c>
      <c r="B1680" t="s">
        <v>2626</v>
      </c>
      <c r="C1680" t="s">
        <v>2643</v>
      </c>
      <c r="D1680" t="str">
        <f>"3469"</f>
        <v>3469</v>
      </c>
      <c r="E1680" t="s">
        <v>824</v>
      </c>
    </row>
    <row r="1681" spans="1:5" x14ac:dyDescent="0.25">
      <c r="A1681" t="str">
        <f t="shared" si="82"/>
        <v>03400</v>
      </c>
      <c r="B1681" t="s">
        <v>2626</v>
      </c>
      <c r="C1681" t="s">
        <v>2644</v>
      </c>
      <c r="D1681" t="str">
        <f>"5092"</f>
        <v>5092</v>
      </c>
      <c r="E1681" t="s">
        <v>818</v>
      </c>
    </row>
    <row r="1682" spans="1:5" x14ac:dyDescent="0.25">
      <c r="A1682" t="str">
        <f t="shared" si="82"/>
        <v>03400</v>
      </c>
      <c r="B1682" t="s">
        <v>2626</v>
      </c>
      <c r="C1682" t="s">
        <v>2645</v>
      </c>
      <c r="D1682" t="str">
        <f>"4543"</f>
        <v>4543</v>
      </c>
      <c r="E1682" t="s">
        <v>818</v>
      </c>
    </row>
    <row r="1683" spans="1:5" x14ac:dyDescent="0.25">
      <c r="A1683" t="str">
        <f>"06122"</f>
        <v>06122</v>
      </c>
      <c r="B1683" t="s">
        <v>2646</v>
      </c>
      <c r="C1683" t="s">
        <v>2647</v>
      </c>
      <c r="D1683" t="str">
        <f>"2390"</f>
        <v>2390</v>
      </c>
      <c r="E1683" t="s">
        <v>824</v>
      </c>
    </row>
    <row r="1684" spans="1:5" x14ac:dyDescent="0.25">
      <c r="A1684" t="str">
        <f>"06122"</f>
        <v>06122</v>
      </c>
      <c r="B1684" t="s">
        <v>2646</v>
      </c>
      <c r="C1684" t="s">
        <v>2648</v>
      </c>
      <c r="D1684" t="str">
        <f>"3321"</f>
        <v>3321</v>
      </c>
      <c r="E1684" t="s">
        <v>818</v>
      </c>
    </row>
    <row r="1685" spans="1:5" x14ac:dyDescent="0.25">
      <c r="A1685" t="str">
        <f>"06122"</f>
        <v>06122</v>
      </c>
      <c r="B1685" t="s">
        <v>2646</v>
      </c>
      <c r="C1685" t="s">
        <v>2649</v>
      </c>
      <c r="D1685" t="str">
        <f>"5518"</f>
        <v>5518</v>
      </c>
      <c r="E1685" t="s">
        <v>818</v>
      </c>
    </row>
    <row r="1686" spans="1:5" x14ac:dyDescent="0.25">
      <c r="A1686" t="str">
        <f>"06122"</f>
        <v>06122</v>
      </c>
      <c r="B1686" t="s">
        <v>2646</v>
      </c>
      <c r="C1686" t="s">
        <v>2650</v>
      </c>
      <c r="D1686" t="str">
        <f>"3786"</f>
        <v>3786</v>
      </c>
      <c r="E1686" t="s">
        <v>818</v>
      </c>
    </row>
    <row r="1687" spans="1:5" x14ac:dyDescent="0.25">
      <c r="A1687" t="str">
        <f>"06122"</f>
        <v>06122</v>
      </c>
      <c r="B1687" t="s">
        <v>2646</v>
      </c>
      <c r="C1687" t="s">
        <v>2651</v>
      </c>
      <c r="D1687" t="str">
        <f>"3891"</f>
        <v>3891</v>
      </c>
      <c r="E1687" t="s">
        <v>830</v>
      </c>
    </row>
    <row r="1688" spans="1:5" x14ac:dyDescent="0.25">
      <c r="A1688" t="str">
        <f>"01160"</f>
        <v>01160</v>
      </c>
      <c r="B1688" t="s">
        <v>2652</v>
      </c>
      <c r="C1688" t="s">
        <v>2653</v>
      </c>
      <c r="D1688" t="str">
        <f>"5303"</f>
        <v>5303</v>
      </c>
      <c r="E1688" t="s">
        <v>830</v>
      </c>
    </row>
    <row r="1689" spans="1:5" x14ac:dyDescent="0.25">
      <c r="A1689" t="str">
        <f>"01160"</f>
        <v>01160</v>
      </c>
      <c r="B1689" t="s">
        <v>2652</v>
      </c>
      <c r="C1689" t="s">
        <v>2654</v>
      </c>
      <c r="D1689" t="str">
        <f>"2719"</f>
        <v>2719</v>
      </c>
      <c r="E1689" t="s">
        <v>821</v>
      </c>
    </row>
    <row r="1690" spans="1:5" x14ac:dyDescent="0.25">
      <c r="A1690" t="str">
        <f>"01160"</f>
        <v>01160</v>
      </c>
      <c r="B1690" t="s">
        <v>2652</v>
      </c>
      <c r="C1690" t="s">
        <v>2655</v>
      </c>
      <c r="D1690" t="str">
        <f>"2132"</f>
        <v>2132</v>
      </c>
      <c r="E1690" t="s">
        <v>824</v>
      </c>
    </row>
    <row r="1691" spans="1:5" x14ac:dyDescent="0.25">
      <c r="A1691" t="str">
        <f>"32416"</f>
        <v>32416</v>
      </c>
      <c r="B1691" t="s">
        <v>2656</v>
      </c>
      <c r="C1691" t="s">
        <v>2657</v>
      </c>
      <c r="D1691" t="str">
        <f>"2525"</f>
        <v>2525</v>
      </c>
      <c r="E1691" t="s">
        <v>818</v>
      </c>
    </row>
    <row r="1692" spans="1:5" x14ac:dyDescent="0.25">
      <c r="A1692" t="str">
        <f>"32416"</f>
        <v>32416</v>
      </c>
      <c r="B1692" t="s">
        <v>2656</v>
      </c>
      <c r="C1692" t="s">
        <v>2658</v>
      </c>
      <c r="D1692" t="str">
        <f>"1919"</f>
        <v>1919</v>
      </c>
      <c r="E1692" t="s">
        <v>859</v>
      </c>
    </row>
    <row r="1693" spans="1:5" x14ac:dyDescent="0.25">
      <c r="A1693" t="str">
        <f>"32416"</f>
        <v>32416</v>
      </c>
      <c r="B1693" t="s">
        <v>2656</v>
      </c>
      <c r="C1693" t="s">
        <v>2659</v>
      </c>
      <c r="D1693" t="str">
        <f>"4033"</f>
        <v>4033</v>
      </c>
      <c r="E1693" t="s">
        <v>818</v>
      </c>
    </row>
    <row r="1694" spans="1:5" x14ac:dyDescent="0.25">
      <c r="A1694" t="str">
        <f>"32416"</f>
        <v>32416</v>
      </c>
      <c r="B1694" t="s">
        <v>2656</v>
      </c>
      <c r="C1694" t="s">
        <v>2660</v>
      </c>
      <c r="D1694" t="str">
        <f>"4228"</f>
        <v>4228</v>
      </c>
      <c r="E1694" t="s">
        <v>824</v>
      </c>
    </row>
    <row r="1695" spans="1:5" x14ac:dyDescent="0.25">
      <c r="A1695" t="str">
        <f>"32416"</f>
        <v>32416</v>
      </c>
      <c r="B1695" t="s">
        <v>2656</v>
      </c>
      <c r="C1695" t="s">
        <v>2661</v>
      </c>
      <c r="D1695" t="str">
        <f>"3466"</f>
        <v>3466</v>
      </c>
      <c r="E1695" t="s">
        <v>830</v>
      </c>
    </row>
    <row r="1696" spans="1:5" x14ac:dyDescent="0.25">
      <c r="A1696" t="str">
        <f t="shared" ref="A1696:A1704" si="83">"17407"</f>
        <v>17407</v>
      </c>
      <c r="B1696" t="s">
        <v>2662</v>
      </c>
      <c r="C1696" t="s">
        <v>2663</v>
      </c>
      <c r="D1696" t="str">
        <f>"2485"</f>
        <v>2485</v>
      </c>
      <c r="E1696" t="s">
        <v>818</v>
      </c>
    </row>
    <row r="1697" spans="1:5" x14ac:dyDescent="0.25">
      <c r="A1697" t="str">
        <f t="shared" si="83"/>
        <v>17407</v>
      </c>
      <c r="B1697" t="s">
        <v>2662</v>
      </c>
      <c r="C1697" t="s">
        <v>2664</v>
      </c>
      <c r="D1697" t="str">
        <f>"3524"</f>
        <v>3524</v>
      </c>
      <c r="E1697" t="s">
        <v>824</v>
      </c>
    </row>
    <row r="1698" spans="1:5" x14ac:dyDescent="0.25">
      <c r="A1698" t="str">
        <f t="shared" si="83"/>
        <v>17407</v>
      </c>
      <c r="B1698" t="s">
        <v>2662</v>
      </c>
      <c r="C1698" t="s">
        <v>2665</v>
      </c>
      <c r="D1698" t="str">
        <f>"3101"</f>
        <v>3101</v>
      </c>
      <c r="E1698" t="s">
        <v>818</v>
      </c>
    </row>
    <row r="1699" spans="1:5" x14ac:dyDescent="0.25">
      <c r="A1699" t="str">
        <f t="shared" si="83"/>
        <v>17407</v>
      </c>
      <c r="B1699" t="s">
        <v>2662</v>
      </c>
      <c r="C1699" t="s">
        <v>2666</v>
      </c>
      <c r="D1699" t="str">
        <f>"5244"</f>
        <v>5244</v>
      </c>
      <c r="E1699" t="s">
        <v>821</v>
      </c>
    </row>
    <row r="1700" spans="1:5" x14ac:dyDescent="0.25">
      <c r="A1700" t="str">
        <f t="shared" si="83"/>
        <v>17407</v>
      </c>
      <c r="B1700" t="s">
        <v>2662</v>
      </c>
      <c r="C1700" t="s">
        <v>2667</v>
      </c>
      <c r="D1700" t="str">
        <f>"1756"</f>
        <v>1756</v>
      </c>
      <c r="E1700" t="s">
        <v>824</v>
      </c>
    </row>
    <row r="1701" spans="1:5" x14ac:dyDescent="0.25">
      <c r="A1701" t="str">
        <f t="shared" si="83"/>
        <v>17407</v>
      </c>
      <c r="B1701" t="s">
        <v>2662</v>
      </c>
      <c r="C1701" t="s">
        <v>2668</v>
      </c>
      <c r="D1701" t="str">
        <f>"3006"</f>
        <v>3006</v>
      </c>
      <c r="E1701" t="s">
        <v>818</v>
      </c>
    </row>
    <row r="1702" spans="1:5" x14ac:dyDescent="0.25">
      <c r="A1702" t="str">
        <f t="shared" si="83"/>
        <v>17407</v>
      </c>
      <c r="B1702" t="s">
        <v>2662</v>
      </c>
      <c r="C1702" t="s">
        <v>2669</v>
      </c>
      <c r="D1702" t="str">
        <f>"1854"</f>
        <v>1854</v>
      </c>
      <c r="E1702" t="s">
        <v>851</v>
      </c>
    </row>
    <row r="1703" spans="1:5" x14ac:dyDescent="0.25">
      <c r="A1703" t="str">
        <f t="shared" si="83"/>
        <v>17407</v>
      </c>
      <c r="B1703" t="s">
        <v>2662</v>
      </c>
      <c r="C1703" t="s">
        <v>2670</v>
      </c>
      <c r="D1703" t="str">
        <f>"4332"</f>
        <v>4332</v>
      </c>
      <c r="E1703" t="s">
        <v>818</v>
      </c>
    </row>
    <row r="1704" spans="1:5" x14ac:dyDescent="0.25">
      <c r="A1704" t="str">
        <f t="shared" si="83"/>
        <v>17407</v>
      </c>
      <c r="B1704" t="s">
        <v>2662</v>
      </c>
      <c r="C1704" t="s">
        <v>2671</v>
      </c>
      <c r="D1704" t="str">
        <f>"4318"</f>
        <v>4318</v>
      </c>
      <c r="E1704" t="s">
        <v>830</v>
      </c>
    </row>
    <row r="1705" spans="1:5" x14ac:dyDescent="0.25">
      <c r="A1705" t="str">
        <f>"34401"</f>
        <v>34401</v>
      </c>
      <c r="B1705" t="s">
        <v>2672</v>
      </c>
      <c r="C1705" t="s">
        <v>2673</v>
      </c>
      <c r="D1705" t="str">
        <f>"3801"</f>
        <v>3801</v>
      </c>
      <c r="E1705" t="s">
        <v>818</v>
      </c>
    </row>
    <row r="1706" spans="1:5" x14ac:dyDescent="0.25">
      <c r="A1706" t="str">
        <f>"34401"</f>
        <v>34401</v>
      </c>
      <c r="B1706" t="s">
        <v>2672</v>
      </c>
      <c r="C1706" t="s">
        <v>2674</v>
      </c>
      <c r="D1706" t="str">
        <f>"1735"</f>
        <v>1735</v>
      </c>
      <c r="E1706" t="s">
        <v>824</v>
      </c>
    </row>
    <row r="1707" spans="1:5" x14ac:dyDescent="0.25">
      <c r="A1707" t="str">
        <f>"34401"</f>
        <v>34401</v>
      </c>
      <c r="B1707" t="s">
        <v>2672</v>
      </c>
      <c r="C1707" t="s">
        <v>2675</v>
      </c>
      <c r="D1707" t="str">
        <f>"4326"</f>
        <v>4326</v>
      </c>
      <c r="E1707" t="s">
        <v>824</v>
      </c>
    </row>
    <row r="1708" spans="1:5" x14ac:dyDescent="0.25">
      <c r="A1708" t="str">
        <f>"34401"</f>
        <v>34401</v>
      </c>
      <c r="B1708" t="s">
        <v>2672</v>
      </c>
      <c r="C1708" t="s">
        <v>2676</v>
      </c>
      <c r="D1708" t="str">
        <f>"3067"</f>
        <v>3067</v>
      </c>
      <c r="E1708" t="s">
        <v>830</v>
      </c>
    </row>
    <row r="1709" spans="1:5" x14ac:dyDescent="0.25">
      <c r="A1709" t="str">
        <f>"34401"</f>
        <v>34401</v>
      </c>
      <c r="B1709" t="s">
        <v>2672</v>
      </c>
      <c r="C1709" t="s">
        <v>2677</v>
      </c>
      <c r="D1709" t="str">
        <f>"2527"</f>
        <v>2527</v>
      </c>
      <c r="E1709" t="s">
        <v>818</v>
      </c>
    </row>
    <row r="1710" spans="1:5" x14ac:dyDescent="0.25">
      <c r="A1710" t="str">
        <f>"20403"</f>
        <v>20403</v>
      </c>
      <c r="B1710" t="s">
        <v>2678</v>
      </c>
      <c r="C1710" t="s">
        <v>974</v>
      </c>
      <c r="D1710" t="str">
        <f>"3530"</f>
        <v>3530</v>
      </c>
      <c r="E1710" t="s">
        <v>818</v>
      </c>
    </row>
    <row r="1711" spans="1:5" x14ac:dyDescent="0.25">
      <c r="A1711" t="str">
        <f>"38320"</f>
        <v>38320</v>
      </c>
      <c r="B1711" t="s">
        <v>2679</v>
      </c>
      <c r="C1711" t="s">
        <v>2680</v>
      </c>
      <c r="D1711" t="str">
        <f>"3204"</f>
        <v>3204</v>
      </c>
      <c r="E1711" t="s">
        <v>851</v>
      </c>
    </row>
    <row r="1712" spans="1:5" x14ac:dyDescent="0.25">
      <c r="A1712" t="str">
        <f>"13160"</f>
        <v>13160</v>
      </c>
      <c r="B1712" t="s">
        <v>2681</v>
      </c>
      <c r="C1712" t="s">
        <v>2682</v>
      </c>
      <c r="D1712" t="str">
        <f>"3090"</f>
        <v>3090</v>
      </c>
      <c r="E1712" t="s">
        <v>818</v>
      </c>
    </row>
    <row r="1713" spans="1:5" x14ac:dyDescent="0.25">
      <c r="A1713" t="str">
        <f>"13160"</f>
        <v>13160</v>
      </c>
      <c r="B1713" t="s">
        <v>2681</v>
      </c>
      <c r="C1713" t="s">
        <v>2683</v>
      </c>
      <c r="D1713" t="str">
        <f>"3516"</f>
        <v>3516</v>
      </c>
      <c r="E1713" t="s">
        <v>824</v>
      </c>
    </row>
    <row r="1714" spans="1:5" x14ac:dyDescent="0.25">
      <c r="A1714" t="str">
        <f>"13160"</f>
        <v>13160</v>
      </c>
      <c r="B1714" t="s">
        <v>2681</v>
      </c>
      <c r="C1714" t="s">
        <v>2684</v>
      </c>
      <c r="D1714" t="str">
        <f>"5388"</f>
        <v>5388</v>
      </c>
      <c r="E1714" t="s">
        <v>818</v>
      </c>
    </row>
    <row r="1715" spans="1:5" x14ac:dyDescent="0.25">
      <c r="A1715" t="str">
        <f>"13160"</f>
        <v>13160</v>
      </c>
      <c r="B1715" t="s">
        <v>2681</v>
      </c>
      <c r="C1715" t="s">
        <v>2685</v>
      </c>
      <c r="D1715" t="str">
        <f>"3620"</f>
        <v>3620</v>
      </c>
      <c r="E1715" t="s">
        <v>830</v>
      </c>
    </row>
    <row r="1716" spans="1:5" x14ac:dyDescent="0.25">
      <c r="A1716" t="str">
        <f>"28149"</f>
        <v>28149</v>
      </c>
      <c r="B1716" t="s">
        <v>2686</v>
      </c>
      <c r="C1716" t="s">
        <v>2687</v>
      </c>
      <c r="D1716" t="str">
        <f>"2520"</f>
        <v>2520</v>
      </c>
      <c r="E1716" t="s">
        <v>818</v>
      </c>
    </row>
    <row r="1717" spans="1:5" x14ac:dyDescent="0.25">
      <c r="A1717" t="str">
        <f>"28149"</f>
        <v>28149</v>
      </c>
      <c r="B1717" t="s">
        <v>2686</v>
      </c>
      <c r="C1717" t="s">
        <v>2688</v>
      </c>
      <c r="D1717" t="str">
        <f>"2879"</f>
        <v>2879</v>
      </c>
      <c r="E1717" t="s">
        <v>824</v>
      </c>
    </row>
    <row r="1718" spans="1:5" x14ac:dyDescent="0.25">
      <c r="A1718" t="str">
        <f>"28149"</f>
        <v>28149</v>
      </c>
      <c r="B1718" t="s">
        <v>2686</v>
      </c>
      <c r="C1718" t="s">
        <v>2689</v>
      </c>
      <c r="D1718" t="str">
        <f>"3011"</f>
        <v>3011</v>
      </c>
      <c r="E1718" t="s">
        <v>830</v>
      </c>
    </row>
    <row r="1719" spans="1:5" x14ac:dyDescent="0.25">
      <c r="A1719" t="str">
        <f>"28149"</f>
        <v>28149</v>
      </c>
      <c r="B1719" t="s">
        <v>2686</v>
      </c>
      <c r="C1719" t="s">
        <v>2690</v>
      </c>
      <c r="D1719" t="str">
        <f>"1963"</f>
        <v>1963</v>
      </c>
      <c r="E1719" t="s">
        <v>859</v>
      </c>
    </row>
    <row r="1720" spans="1:5" x14ac:dyDescent="0.25">
      <c r="A1720" t="str">
        <f>"14104"</f>
        <v>14104</v>
      </c>
      <c r="B1720" t="s">
        <v>2691</v>
      </c>
      <c r="C1720" t="s">
        <v>2692</v>
      </c>
      <c r="D1720" t="str">
        <f>"2010"</f>
        <v>2010</v>
      </c>
      <c r="E1720" t="s">
        <v>818</v>
      </c>
    </row>
    <row r="1721" spans="1:5" x14ac:dyDescent="0.25">
      <c r="A1721" t="str">
        <f t="shared" ref="A1721:A1752" si="84">"17001"</f>
        <v>17001</v>
      </c>
      <c r="B1721" t="s">
        <v>2693</v>
      </c>
      <c r="C1721" t="s">
        <v>2694</v>
      </c>
      <c r="D1721" t="str">
        <f>"2138"</f>
        <v>2138</v>
      </c>
      <c r="E1721" t="s">
        <v>818</v>
      </c>
    </row>
    <row r="1722" spans="1:5" x14ac:dyDescent="0.25">
      <c r="A1722" t="str">
        <f t="shared" si="84"/>
        <v>17001</v>
      </c>
      <c r="B1722" t="s">
        <v>2693</v>
      </c>
      <c r="C1722" t="s">
        <v>2695</v>
      </c>
      <c r="D1722" t="str">
        <f>"3774"</f>
        <v>3774</v>
      </c>
      <c r="E1722" t="s">
        <v>830</v>
      </c>
    </row>
    <row r="1723" spans="1:5" x14ac:dyDescent="0.25">
      <c r="A1723" t="str">
        <f t="shared" si="84"/>
        <v>17001</v>
      </c>
      <c r="B1723" t="s">
        <v>2693</v>
      </c>
      <c r="C1723" t="s">
        <v>2696</v>
      </c>
      <c r="D1723" t="str">
        <f>"2181"</f>
        <v>2181</v>
      </c>
      <c r="E1723" t="s">
        <v>818</v>
      </c>
    </row>
    <row r="1724" spans="1:5" x14ac:dyDescent="0.25">
      <c r="A1724" t="str">
        <f t="shared" si="84"/>
        <v>17001</v>
      </c>
      <c r="B1724" t="s">
        <v>2693</v>
      </c>
      <c r="C1724" t="s">
        <v>2697</v>
      </c>
      <c r="D1724" t="str">
        <f>"2730"</f>
        <v>2730</v>
      </c>
      <c r="E1724" t="s">
        <v>818</v>
      </c>
    </row>
    <row r="1725" spans="1:5" x14ac:dyDescent="0.25">
      <c r="A1725" t="str">
        <f t="shared" si="84"/>
        <v>17001</v>
      </c>
      <c r="B1725" t="s">
        <v>2693</v>
      </c>
      <c r="C1725" t="s">
        <v>2698</v>
      </c>
      <c r="D1725" t="str">
        <f>"3717"</f>
        <v>3717</v>
      </c>
      <c r="E1725" t="s">
        <v>818</v>
      </c>
    </row>
    <row r="1726" spans="1:5" x14ac:dyDescent="0.25">
      <c r="A1726" t="str">
        <f t="shared" si="84"/>
        <v>17001</v>
      </c>
      <c r="B1726" t="s">
        <v>2693</v>
      </c>
      <c r="C1726" t="s">
        <v>2699</v>
      </c>
      <c r="D1726" t="str">
        <f>"2307"</f>
        <v>2307</v>
      </c>
      <c r="E1726" t="s">
        <v>818</v>
      </c>
    </row>
    <row r="1727" spans="1:5" x14ac:dyDescent="0.25">
      <c r="A1727" t="str">
        <f t="shared" si="84"/>
        <v>17001</v>
      </c>
      <c r="B1727" t="s">
        <v>2693</v>
      </c>
      <c r="C1727" t="s">
        <v>2700</v>
      </c>
      <c r="D1727" t="str">
        <f>"2220"</f>
        <v>2220</v>
      </c>
      <c r="E1727" t="s">
        <v>824</v>
      </c>
    </row>
    <row r="1728" spans="1:5" x14ac:dyDescent="0.25">
      <c r="A1728" t="str">
        <f t="shared" si="84"/>
        <v>17001</v>
      </c>
      <c r="B1728" t="s">
        <v>2693</v>
      </c>
      <c r="C1728" t="s">
        <v>2701</v>
      </c>
      <c r="D1728" t="str">
        <f>"2070"</f>
        <v>2070</v>
      </c>
      <c r="E1728" t="s">
        <v>818</v>
      </c>
    </row>
    <row r="1729" spans="1:5" x14ac:dyDescent="0.25">
      <c r="A1729" t="str">
        <f t="shared" si="84"/>
        <v>17001</v>
      </c>
      <c r="B1729" t="s">
        <v>2693</v>
      </c>
      <c r="C1729" t="s">
        <v>2702</v>
      </c>
      <c r="D1729" t="str">
        <f>"5048"</f>
        <v>5048</v>
      </c>
      <c r="E1729" t="s">
        <v>826</v>
      </c>
    </row>
    <row r="1730" spans="1:5" x14ac:dyDescent="0.25">
      <c r="A1730" t="str">
        <f t="shared" si="84"/>
        <v>17001</v>
      </c>
      <c r="B1730" t="s">
        <v>2693</v>
      </c>
      <c r="C1730" t="s">
        <v>2703</v>
      </c>
      <c r="D1730" t="str">
        <f>"5406"</f>
        <v>5406</v>
      </c>
      <c r="E1730" t="s">
        <v>851</v>
      </c>
    </row>
    <row r="1731" spans="1:5" x14ac:dyDescent="0.25">
      <c r="A1731" t="str">
        <f t="shared" si="84"/>
        <v>17001</v>
      </c>
      <c r="B1731" t="s">
        <v>2693</v>
      </c>
      <c r="C1731" t="s">
        <v>2704</v>
      </c>
      <c r="D1731" t="str">
        <f>"2209"</f>
        <v>2209</v>
      </c>
      <c r="E1731" t="s">
        <v>821</v>
      </c>
    </row>
    <row r="1732" spans="1:5" x14ac:dyDescent="0.25">
      <c r="A1732" t="str">
        <f t="shared" si="84"/>
        <v>17001</v>
      </c>
      <c r="B1732" t="s">
        <v>2693</v>
      </c>
      <c r="C1732" t="s">
        <v>2705</v>
      </c>
      <c r="D1732" t="str">
        <f>"2372"</f>
        <v>2372</v>
      </c>
      <c r="E1732" t="s">
        <v>818</v>
      </c>
    </row>
    <row r="1733" spans="1:5" x14ac:dyDescent="0.25">
      <c r="A1733" t="str">
        <f t="shared" si="84"/>
        <v>17001</v>
      </c>
      <c r="B1733" t="s">
        <v>2693</v>
      </c>
      <c r="C1733" t="s">
        <v>2706</v>
      </c>
      <c r="D1733" t="str">
        <f>"1751"</f>
        <v>1751</v>
      </c>
      <c r="E1733" t="s">
        <v>859</v>
      </c>
    </row>
    <row r="1734" spans="1:5" x14ac:dyDescent="0.25">
      <c r="A1734" t="str">
        <f t="shared" si="84"/>
        <v>17001</v>
      </c>
      <c r="B1734" t="s">
        <v>2693</v>
      </c>
      <c r="C1734" t="s">
        <v>1588</v>
      </c>
      <c r="D1734" t="str">
        <f>"5292"</f>
        <v>5292</v>
      </c>
      <c r="E1734" t="s">
        <v>818</v>
      </c>
    </row>
    <row r="1735" spans="1:5" x14ac:dyDescent="0.25">
      <c r="A1735" t="str">
        <f t="shared" si="84"/>
        <v>17001</v>
      </c>
      <c r="B1735" t="s">
        <v>2693</v>
      </c>
      <c r="C1735" t="s">
        <v>2707</v>
      </c>
      <c r="D1735" t="str">
        <f>"2838"</f>
        <v>2838</v>
      </c>
      <c r="E1735" t="s">
        <v>821</v>
      </c>
    </row>
    <row r="1736" spans="1:5" x14ac:dyDescent="0.25">
      <c r="A1736" t="str">
        <f t="shared" si="84"/>
        <v>17001</v>
      </c>
      <c r="B1736" t="s">
        <v>2693</v>
      </c>
      <c r="C1736" t="s">
        <v>2708</v>
      </c>
      <c r="D1736" t="str">
        <f>"5487"</f>
        <v>5487</v>
      </c>
      <c r="E1736" t="s">
        <v>818</v>
      </c>
    </row>
    <row r="1737" spans="1:5" x14ac:dyDescent="0.25">
      <c r="A1737" t="str">
        <f t="shared" si="84"/>
        <v>17001</v>
      </c>
      <c r="B1737" t="s">
        <v>2693</v>
      </c>
      <c r="C1737" t="s">
        <v>2709</v>
      </c>
      <c r="D1737" t="str">
        <f>"3096"</f>
        <v>3096</v>
      </c>
      <c r="E1737" t="s">
        <v>824</v>
      </c>
    </row>
    <row r="1738" spans="1:5" x14ac:dyDescent="0.25">
      <c r="A1738" t="str">
        <f t="shared" si="84"/>
        <v>17001</v>
      </c>
      <c r="B1738" t="s">
        <v>2693</v>
      </c>
      <c r="C1738" t="s">
        <v>2710</v>
      </c>
      <c r="D1738" t="str">
        <f>"2392"</f>
        <v>2392</v>
      </c>
      <c r="E1738" t="s">
        <v>824</v>
      </c>
    </row>
    <row r="1739" spans="1:5" x14ac:dyDescent="0.25">
      <c r="A1739" t="str">
        <f t="shared" si="84"/>
        <v>17001</v>
      </c>
      <c r="B1739" t="s">
        <v>2693</v>
      </c>
      <c r="C1739" t="s">
        <v>2711</v>
      </c>
      <c r="D1739" t="str">
        <f>"2199"</f>
        <v>2199</v>
      </c>
      <c r="E1739" t="s">
        <v>818</v>
      </c>
    </row>
    <row r="1740" spans="1:5" x14ac:dyDescent="0.25">
      <c r="A1740" t="str">
        <f t="shared" si="84"/>
        <v>17001</v>
      </c>
      <c r="B1740" t="s">
        <v>2693</v>
      </c>
      <c r="C1740" t="s">
        <v>2712</v>
      </c>
      <c r="D1740" t="str">
        <f>"2450"</f>
        <v>2450</v>
      </c>
      <c r="E1740" t="s">
        <v>818</v>
      </c>
    </row>
    <row r="1741" spans="1:5" x14ac:dyDescent="0.25">
      <c r="A1741" t="str">
        <f t="shared" si="84"/>
        <v>17001</v>
      </c>
      <c r="B1741" t="s">
        <v>2693</v>
      </c>
      <c r="C1741" t="s">
        <v>2713</v>
      </c>
      <c r="D1741" t="str">
        <f>"2839"</f>
        <v>2839</v>
      </c>
      <c r="E1741" t="s">
        <v>830</v>
      </c>
    </row>
    <row r="1742" spans="1:5" x14ac:dyDescent="0.25">
      <c r="A1742" t="str">
        <f t="shared" si="84"/>
        <v>17001</v>
      </c>
      <c r="B1742" t="s">
        <v>2693</v>
      </c>
      <c r="C1742" t="s">
        <v>2714</v>
      </c>
      <c r="D1742" t="str">
        <f>"3803"</f>
        <v>3803</v>
      </c>
      <c r="E1742" t="s">
        <v>818</v>
      </c>
    </row>
    <row r="1743" spans="1:5" x14ac:dyDescent="0.25">
      <c r="A1743" t="str">
        <f t="shared" si="84"/>
        <v>17001</v>
      </c>
      <c r="B1743" t="s">
        <v>2693</v>
      </c>
      <c r="C1743" t="s">
        <v>2715</v>
      </c>
      <c r="D1743" t="str">
        <f>"5488"</f>
        <v>5488</v>
      </c>
      <c r="E1743" t="s">
        <v>818</v>
      </c>
    </row>
    <row r="1744" spans="1:5" x14ac:dyDescent="0.25">
      <c r="A1744" t="str">
        <f t="shared" si="84"/>
        <v>17001</v>
      </c>
      <c r="B1744" t="s">
        <v>2693</v>
      </c>
      <c r="C1744" t="s">
        <v>2716</v>
      </c>
      <c r="D1744" t="str">
        <f>"2321"</f>
        <v>2321</v>
      </c>
      <c r="E1744" t="s">
        <v>818</v>
      </c>
    </row>
    <row r="1745" spans="1:5" x14ac:dyDescent="0.25">
      <c r="A1745" t="str">
        <f t="shared" si="84"/>
        <v>17001</v>
      </c>
      <c r="B1745" t="s">
        <v>2693</v>
      </c>
      <c r="C1745" t="s">
        <v>2717</v>
      </c>
      <c r="D1745" t="str">
        <f>"2729"</f>
        <v>2729</v>
      </c>
      <c r="E1745" t="s">
        <v>830</v>
      </c>
    </row>
    <row r="1746" spans="1:5" x14ac:dyDescent="0.25">
      <c r="A1746" t="str">
        <f t="shared" si="84"/>
        <v>17001</v>
      </c>
      <c r="B1746" t="s">
        <v>2693</v>
      </c>
      <c r="C1746" t="s">
        <v>1474</v>
      </c>
      <c r="D1746" t="str">
        <f>"2118"</f>
        <v>2118</v>
      </c>
      <c r="E1746" t="s">
        <v>818</v>
      </c>
    </row>
    <row r="1747" spans="1:5" x14ac:dyDescent="0.25">
      <c r="A1747" t="str">
        <f t="shared" si="84"/>
        <v>17001</v>
      </c>
      <c r="B1747" t="s">
        <v>2693</v>
      </c>
      <c r="C1747" t="s">
        <v>2718</v>
      </c>
      <c r="D1747" t="str">
        <f>"3518"</f>
        <v>3518</v>
      </c>
      <c r="E1747" t="s">
        <v>818</v>
      </c>
    </row>
    <row r="1748" spans="1:5" x14ac:dyDescent="0.25">
      <c r="A1748" t="str">
        <f t="shared" si="84"/>
        <v>17001</v>
      </c>
      <c r="B1748" t="s">
        <v>2693</v>
      </c>
      <c r="C1748" t="s">
        <v>2719</v>
      </c>
      <c r="D1748" t="str">
        <f>"2182"</f>
        <v>2182</v>
      </c>
      <c r="E1748" t="s">
        <v>824</v>
      </c>
    </row>
    <row r="1749" spans="1:5" x14ac:dyDescent="0.25">
      <c r="A1749" t="str">
        <f t="shared" si="84"/>
        <v>17001</v>
      </c>
      <c r="B1749" t="s">
        <v>2693</v>
      </c>
      <c r="C1749" t="s">
        <v>2720</v>
      </c>
      <c r="D1749" t="str">
        <f>"2090"</f>
        <v>2090</v>
      </c>
      <c r="E1749" t="s">
        <v>818</v>
      </c>
    </row>
    <row r="1750" spans="1:5" x14ac:dyDescent="0.25">
      <c r="A1750" t="str">
        <f t="shared" si="84"/>
        <v>17001</v>
      </c>
      <c r="B1750" t="s">
        <v>2693</v>
      </c>
      <c r="C1750" t="s">
        <v>2721</v>
      </c>
      <c r="D1750" t="str">
        <f>"2306"</f>
        <v>2306</v>
      </c>
      <c r="E1750" t="s">
        <v>824</v>
      </c>
    </row>
    <row r="1751" spans="1:5" x14ac:dyDescent="0.25">
      <c r="A1751" t="str">
        <f t="shared" si="84"/>
        <v>17001</v>
      </c>
      <c r="B1751" t="s">
        <v>2693</v>
      </c>
      <c r="C1751" t="s">
        <v>2722</v>
      </c>
      <c r="D1751" t="str">
        <f>"2139"</f>
        <v>2139</v>
      </c>
      <c r="E1751" t="s">
        <v>818</v>
      </c>
    </row>
    <row r="1752" spans="1:5" x14ac:dyDescent="0.25">
      <c r="A1752" t="str">
        <f t="shared" si="84"/>
        <v>17001</v>
      </c>
      <c r="B1752" t="s">
        <v>2693</v>
      </c>
      <c r="C1752" t="s">
        <v>2723</v>
      </c>
      <c r="D1752" t="str">
        <f>"3429"</f>
        <v>3429</v>
      </c>
      <c r="E1752" t="s">
        <v>818</v>
      </c>
    </row>
    <row r="1753" spans="1:5" x14ac:dyDescent="0.25">
      <c r="A1753" t="str">
        <f t="shared" ref="A1753:A1784" si="85">"17001"</f>
        <v>17001</v>
      </c>
      <c r="B1753" t="s">
        <v>2693</v>
      </c>
      <c r="C1753" t="s">
        <v>2724</v>
      </c>
      <c r="D1753" t="str">
        <f>"3378"</f>
        <v>3378</v>
      </c>
      <c r="E1753" t="s">
        <v>818</v>
      </c>
    </row>
    <row r="1754" spans="1:5" x14ac:dyDescent="0.25">
      <c r="A1754" t="str">
        <f t="shared" si="85"/>
        <v>17001</v>
      </c>
      <c r="B1754" t="s">
        <v>2693</v>
      </c>
      <c r="C1754" t="s">
        <v>2725</v>
      </c>
      <c r="D1754" t="str">
        <f>"2061"</f>
        <v>2061</v>
      </c>
      <c r="E1754" t="s">
        <v>818</v>
      </c>
    </row>
    <row r="1755" spans="1:5" x14ac:dyDescent="0.25">
      <c r="A1755" t="str">
        <f t="shared" si="85"/>
        <v>17001</v>
      </c>
      <c r="B1755" t="s">
        <v>2693</v>
      </c>
      <c r="C1755" t="s">
        <v>2726</v>
      </c>
      <c r="D1755" t="str">
        <f>"2123"</f>
        <v>2123</v>
      </c>
      <c r="E1755" t="s">
        <v>818</v>
      </c>
    </row>
    <row r="1756" spans="1:5" x14ac:dyDescent="0.25">
      <c r="A1756" t="str">
        <f t="shared" si="85"/>
        <v>17001</v>
      </c>
      <c r="B1756" t="s">
        <v>2693</v>
      </c>
      <c r="C1756" t="s">
        <v>2727</v>
      </c>
      <c r="D1756" t="str">
        <f>"2371"</f>
        <v>2371</v>
      </c>
      <c r="E1756" t="s">
        <v>830</v>
      </c>
    </row>
    <row r="1757" spans="1:5" x14ac:dyDescent="0.25">
      <c r="A1757" t="str">
        <f t="shared" si="85"/>
        <v>17001</v>
      </c>
      <c r="B1757" t="s">
        <v>2693</v>
      </c>
      <c r="C1757" t="s">
        <v>2728</v>
      </c>
      <c r="D1757" t="str">
        <f>"4248"</f>
        <v>4248</v>
      </c>
      <c r="E1757" t="s">
        <v>818</v>
      </c>
    </row>
    <row r="1758" spans="1:5" x14ac:dyDescent="0.25">
      <c r="A1758" t="str">
        <f t="shared" si="85"/>
        <v>17001</v>
      </c>
      <c r="B1758" t="s">
        <v>2693</v>
      </c>
      <c r="C1758" t="s">
        <v>2729</v>
      </c>
      <c r="D1758" t="str">
        <f>"5175"</f>
        <v>5175</v>
      </c>
      <c r="E1758" t="s">
        <v>821</v>
      </c>
    </row>
    <row r="1759" spans="1:5" x14ac:dyDescent="0.25">
      <c r="A1759" t="str">
        <f t="shared" si="85"/>
        <v>17001</v>
      </c>
      <c r="B1759" t="s">
        <v>2693</v>
      </c>
      <c r="C1759" t="s">
        <v>2730</v>
      </c>
      <c r="D1759" t="str">
        <f>"2269"</f>
        <v>2269</v>
      </c>
      <c r="E1759" t="s">
        <v>818</v>
      </c>
    </row>
    <row r="1760" spans="1:5" x14ac:dyDescent="0.25">
      <c r="A1760" t="str">
        <f t="shared" si="85"/>
        <v>17001</v>
      </c>
      <c r="B1760" t="s">
        <v>2693</v>
      </c>
      <c r="C1760" t="s">
        <v>2731</v>
      </c>
      <c r="D1760" t="str">
        <f>"3276"</f>
        <v>3276</v>
      </c>
      <c r="E1760" t="s">
        <v>824</v>
      </c>
    </row>
    <row r="1761" spans="1:5" x14ac:dyDescent="0.25">
      <c r="A1761" t="str">
        <f t="shared" si="85"/>
        <v>17001</v>
      </c>
      <c r="B1761" t="s">
        <v>2693</v>
      </c>
      <c r="C1761" t="s">
        <v>2732</v>
      </c>
      <c r="D1761" t="str">
        <f>"3496"</f>
        <v>3496</v>
      </c>
      <c r="E1761" t="s">
        <v>821</v>
      </c>
    </row>
    <row r="1762" spans="1:5" x14ac:dyDescent="0.25">
      <c r="A1762" t="str">
        <f t="shared" si="85"/>
        <v>17001</v>
      </c>
      <c r="B1762" t="s">
        <v>2693</v>
      </c>
      <c r="C1762" t="s">
        <v>2733</v>
      </c>
      <c r="D1762" t="str">
        <f>"5405"</f>
        <v>5405</v>
      </c>
      <c r="E1762" t="s">
        <v>824</v>
      </c>
    </row>
    <row r="1763" spans="1:5" x14ac:dyDescent="0.25">
      <c r="A1763" t="str">
        <f t="shared" si="85"/>
        <v>17001</v>
      </c>
      <c r="B1763" t="s">
        <v>2693</v>
      </c>
      <c r="C1763" t="s">
        <v>2734</v>
      </c>
      <c r="D1763" t="str">
        <f>"1635"</f>
        <v>1635</v>
      </c>
      <c r="E1763" t="s">
        <v>821</v>
      </c>
    </row>
    <row r="1764" spans="1:5" x14ac:dyDescent="0.25">
      <c r="A1764" t="str">
        <f t="shared" si="85"/>
        <v>17001</v>
      </c>
      <c r="B1764" t="s">
        <v>2693</v>
      </c>
      <c r="C1764" t="s">
        <v>2735</v>
      </c>
      <c r="D1764" t="str">
        <f>"5351"</f>
        <v>5351</v>
      </c>
      <c r="E1764" t="s">
        <v>830</v>
      </c>
    </row>
    <row r="1765" spans="1:5" x14ac:dyDescent="0.25">
      <c r="A1765" t="str">
        <f t="shared" si="85"/>
        <v>17001</v>
      </c>
      <c r="B1765" t="s">
        <v>2693</v>
      </c>
      <c r="C1765" t="s">
        <v>2736</v>
      </c>
      <c r="D1765" t="str">
        <f>"2063"</f>
        <v>2063</v>
      </c>
      <c r="E1765" t="s">
        <v>818</v>
      </c>
    </row>
    <row r="1766" spans="1:5" x14ac:dyDescent="0.25">
      <c r="A1766" t="str">
        <f t="shared" si="85"/>
        <v>17001</v>
      </c>
      <c r="B1766" t="s">
        <v>2693</v>
      </c>
      <c r="C1766" t="s">
        <v>2737</v>
      </c>
      <c r="D1766" t="str">
        <f>"2143"</f>
        <v>2143</v>
      </c>
      <c r="E1766" t="s">
        <v>818</v>
      </c>
    </row>
    <row r="1767" spans="1:5" x14ac:dyDescent="0.25">
      <c r="A1767" t="str">
        <f t="shared" si="85"/>
        <v>17001</v>
      </c>
      <c r="B1767" t="s">
        <v>2693</v>
      </c>
      <c r="C1767" t="s">
        <v>2738</v>
      </c>
      <c r="D1767" t="str">
        <f>"2975"</f>
        <v>2975</v>
      </c>
      <c r="E1767" t="s">
        <v>818</v>
      </c>
    </row>
    <row r="1768" spans="1:5" x14ac:dyDescent="0.25">
      <c r="A1768" t="str">
        <f t="shared" si="85"/>
        <v>17001</v>
      </c>
      <c r="B1768" t="s">
        <v>2693</v>
      </c>
      <c r="C1768" t="s">
        <v>2739</v>
      </c>
      <c r="D1768" t="str">
        <f>"2081"</f>
        <v>2081</v>
      </c>
      <c r="E1768" t="s">
        <v>818</v>
      </c>
    </row>
    <row r="1769" spans="1:5" x14ac:dyDescent="0.25">
      <c r="A1769" t="str">
        <f t="shared" si="85"/>
        <v>17001</v>
      </c>
      <c r="B1769" t="s">
        <v>2693</v>
      </c>
      <c r="C1769" t="s">
        <v>2740</v>
      </c>
      <c r="D1769" t="str">
        <f>"3478"</f>
        <v>3478</v>
      </c>
      <c r="E1769" t="s">
        <v>818</v>
      </c>
    </row>
    <row r="1770" spans="1:5" x14ac:dyDescent="0.25">
      <c r="A1770" t="str">
        <f t="shared" si="85"/>
        <v>17001</v>
      </c>
      <c r="B1770" t="s">
        <v>2693</v>
      </c>
      <c r="C1770" t="s">
        <v>2741</v>
      </c>
      <c r="D1770" t="str">
        <f>"2733"</f>
        <v>2733</v>
      </c>
      <c r="E1770" t="s">
        <v>818</v>
      </c>
    </row>
    <row r="1771" spans="1:5" x14ac:dyDescent="0.25">
      <c r="A1771" t="str">
        <f t="shared" si="85"/>
        <v>17001</v>
      </c>
      <c r="B1771" t="s">
        <v>2693</v>
      </c>
      <c r="C1771" t="s">
        <v>2742</v>
      </c>
      <c r="D1771" t="str">
        <f>"2437"</f>
        <v>2437</v>
      </c>
      <c r="E1771" t="s">
        <v>818</v>
      </c>
    </row>
    <row r="1772" spans="1:5" x14ac:dyDescent="0.25">
      <c r="A1772" t="str">
        <f t="shared" si="85"/>
        <v>17001</v>
      </c>
      <c r="B1772" t="s">
        <v>2693</v>
      </c>
      <c r="C1772" t="s">
        <v>2743</v>
      </c>
      <c r="D1772" t="str">
        <f>"2183"</f>
        <v>2183</v>
      </c>
      <c r="E1772" t="s">
        <v>818</v>
      </c>
    </row>
    <row r="1773" spans="1:5" x14ac:dyDescent="0.25">
      <c r="A1773" t="str">
        <f t="shared" si="85"/>
        <v>17001</v>
      </c>
      <c r="B1773" t="s">
        <v>2693</v>
      </c>
      <c r="C1773" t="s">
        <v>2744</v>
      </c>
      <c r="D1773" t="str">
        <f>"2121"</f>
        <v>2121</v>
      </c>
      <c r="E1773" t="s">
        <v>818</v>
      </c>
    </row>
    <row r="1774" spans="1:5" x14ac:dyDescent="0.25">
      <c r="A1774" t="str">
        <f t="shared" si="85"/>
        <v>17001</v>
      </c>
      <c r="B1774" t="s">
        <v>2693</v>
      </c>
      <c r="C1774" t="s">
        <v>2745</v>
      </c>
      <c r="D1774" t="str">
        <f>"3874"</f>
        <v>3874</v>
      </c>
      <c r="E1774" t="s">
        <v>821</v>
      </c>
    </row>
    <row r="1775" spans="1:5" x14ac:dyDescent="0.25">
      <c r="A1775" t="str">
        <f t="shared" si="85"/>
        <v>17001</v>
      </c>
      <c r="B1775" t="s">
        <v>2693</v>
      </c>
      <c r="C1775" t="s">
        <v>2746</v>
      </c>
      <c r="D1775" t="str">
        <f>"5276"</f>
        <v>5276</v>
      </c>
      <c r="E1775" t="s">
        <v>821</v>
      </c>
    </row>
    <row r="1776" spans="1:5" x14ac:dyDescent="0.25">
      <c r="A1776" t="str">
        <f t="shared" si="85"/>
        <v>17001</v>
      </c>
      <c r="B1776" t="s">
        <v>2693</v>
      </c>
      <c r="C1776" t="s">
        <v>2747</v>
      </c>
      <c r="D1776" t="str">
        <f>"3714"</f>
        <v>3714</v>
      </c>
      <c r="E1776" t="s">
        <v>818</v>
      </c>
    </row>
    <row r="1777" spans="1:5" x14ac:dyDescent="0.25">
      <c r="A1777" t="str">
        <f t="shared" si="85"/>
        <v>17001</v>
      </c>
      <c r="B1777" t="s">
        <v>2693</v>
      </c>
      <c r="C1777" t="s">
        <v>2748</v>
      </c>
      <c r="D1777" t="str">
        <f>"2462"</f>
        <v>2462</v>
      </c>
      <c r="E1777" t="s">
        <v>818</v>
      </c>
    </row>
    <row r="1778" spans="1:5" x14ac:dyDescent="0.25">
      <c r="A1778" t="str">
        <f t="shared" si="85"/>
        <v>17001</v>
      </c>
      <c r="B1778" t="s">
        <v>2693</v>
      </c>
      <c r="C1778" t="s">
        <v>2749</v>
      </c>
      <c r="D1778" t="str">
        <f>"2435"</f>
        <v>2435</v>
      </c>
      <c r="E1778" t="s">
        <v>830</v>
      </c>
    </row>
    <row r="1779" spans="1:5" x14ac:dyDescent="0.25">
      <c r="A1779" t="str">
        <f t="shared" si="85"/>
        <v>17001</v>
      </c>
      <c r="B1779" t="s">
        <v>2693</v>
      </c>
      <c r="C1779" t="s">
        <v>2750</v>
      </c>
      <c r="D1779" t="str">
        <f>"2069"</f>
        <v>2069</v>
      </c>
      <c r="E1779" t="s">
        <v>821</v>
      </c>
    </row>
    <row r="1780" spans="1:5" x14ac:dyDescent="0.25">
      <c r="A1780" t="str">
        <f t="shared" si="85"/>
        <v>17001</v>
      </c>
      <c r="B1780" t="s">
        <v>2693</v>
      </c>
      <c r="C1780" t="s">
        <v>2751</v>
      </c>
      <c r="D1780" t="str">
        <f>"2353"</f>
        <v>2353</v>
      </c>
      <c r="E1780" t="s">
        <v>818</v>
      </c>
    </row>
    <row r="1781" spans="1:5" x14ac:dyDescent="0.25">
      <c r="A1781" t="str">
        <f t="shared" si="85"/>
        <v>17001</v>
      </c>
      <c r="B1781" t="s">
        <v>2693</v>
      </c>
      <c r="C1781" t="s">
        <v>2752</v>
      </c>
      <c r="D1781" t="str">
        <f>"2089"</f>
        <v>2089</v>
      </c>
      <c r="E1781" t="s">
        <v>818</v>
      </c>
    </row>
    <row r="1782" spans="1:5" x14ac:dyDescent="0.25">
      <c r="A1782" t="str">
        <f t="shared" si="85"/>
        <v>17001</v>
      </c>
      <c r="B1782" t="s">
        <v>2693</v>
      </c>
      <c r="C1782" t="s">
        <v>2753</v>
      </c>
      <c r="D1782" t="str">
        <f>"3517"</f>
        <v>3517</v>
      </c>
      <c r="E1782" t="s">
        <v>830</v>
      </c>
    </row>
    <row r="1783" spans="1:5" x14ac:dyDescent="0.25">
      <c r="A1783" t="str">
        <f t="shared" si="85"/>
        <v>17001</v>
      </c>
      <c r="B1783" t="s">
        <v>2693</v>
      </c>
      <c r="C1783" t="s">
        <v>2754</v>
      </c>
      <c r="D1783" t="str">
        <f>"5203"</f>
        <v>5203</v>
      </c>
      <c r="E1783" t="s">
        <v>818</v>
      </c>
    </row>
    <row r="1784" spans="1:5" x14ac:dyDescent="0.25">
      <c r="A1784" t="str">
        <f t="shared" si="85"/>
        <v>17001</v>
      </c>
      <c r="B1784" t="s">
        <v>2693</v>
      </c>
      <c r="C1784" t="s">
        <v>2755</v>
      </c>
      <c r="D1784" t="str">
        <f>"2201"</f>
        <v>2201</v>
      </c>
      <c r="E1784" t="s">
        <v>818</v>
      </c>
    </row>
    <row r="1785" spans="1:5" x14ac:dyDescent="0.25">
      <c r="A1785" t="str">
        <f t="shared" ref="A1785:A1816" si="86">"17001"</f>
        <v>17001</v>
      </c>
      <c r="B1785" t="s">
        <v>2693</v>
      </c>
      <c r="C1785" t="s">
        <v>2756</v>
      </c>
      <c r="D1785" t="str">
        <f>"5485"</f>
        <v>5485</v>
      </c>
      <c r="E1785" t="s">
        <v>830</v>
      </c>
    </row>
    <row r="1786" spans="1:5" x14ac:dyDescent="0.25">
      <c r="A1786" t="str">
        <f t="shared" si="86"/>
        <v>17001</v>
      </c>
      <c r="B1786" t="s">
        <v>2693</v>
      </c>
      <c r="C1786" t="s">
        <v>2757</v>
      </c>
      <c r="D1786" t="str">
        <f>"3095"</f>
        <v>3095</v>
      </c>
      <c r="E1786" t="s">
        <v>830</v>
      </c>
    </row>
    <row r="1787" spans="1:5" x14ac:dyDescent="0.25">
      <c r="A1787" t="str">
        <f t="shared" si="86"/>
        <v>17001</v>
      </c>
      <c r="B1787" t="s">
        <v>2693</v>
      </c>
      <c r="C1787" t="s">
        <v>2758</v>
      </c>
      <c r="D1787" t="str">
        <f>"1547"</f>
        <v>1547</v>
      </c>
      <c r="E1787" t="s">
        <v>824</v>
      </c>
    </row>
    <row r="1788" spans="1:5" x14ac:dyDescent="0.25">
      <c r="A1788" t="str">
        <f t="shared" si="86"/>
        <v>17001</v>
      </c>
      <c r="B1788" t="s">
        <v>2693</v>
      </c>
      <c r="C1788" t="s">
        <v>2759</v>
      </c>
      <c r="D1788" t="str">
        <f>"2322"</f>
        <v>2322</v>
      </c>
      <c r="E1788" t="s">
        <v>818</v>
      </c>
    </row>
    <row r="1789" spans="1:5" x14ac:dyDescent="0.25">
      <c r="A1789" t="str">
        <f t="shared" si="86"/>
        <v>17001</v>
      </c>
      <c r="B1789" t="s">
        <v>2693</v>
      </c>
      <c r="C1789" t="s">
        <v>2760</v>
      </c>
      <c r="D1789" t="str">
        <f>"3479"</f>
        <v>3479</v>
      </c>
      <c r="E1789" t="s">
        <v>824</v>
      </c>
    </row>
    <row r="1790" spans="1:5" x14ac:dyDescent="0.25">
      <c r="A1790" t="str">
        <f t="shared" si="86"/>
        <v>17001</v>
      </c>
      <c r="B1790" t="s">
        <v>2693</v>
      </c>
      <c r="C1790" t="s">
        <v>2761</v>
      </c>
      <c r="D1790" t="str">
        <f>"3218"</f>
        <v>3218</v>
      </c>
      <c r="E1790" t="s">
        <v>818</v>
      </c>
    </row>
    <row r="1791" spans="1:5" x14ac:dyDescent="0.25">
      <c r="A1791" t="str">
        <f t="shared" si="86"/>
        <v>17001</v>
      </c>
      <c r="B1791" t="s">
        <v>2693</v>
      </c>
      <c r="C1791" t="s">
        <v>2762</v>
      </c>
      <c r="D1791" t="str">
        <f>"3027"</f>
        <v>3027</v>
      </c>
      <c r="E1791" t="s">
        <v>818</v>
      </c>
    </row>
    <row r="1792" spans="1:5" x14ac:dyDescent="0.25">
      <c r="A1792" t="str">
        <f t="shared" si="86"/>
        <v>17001</v>
      </c>
      <c r="B1792" t="s">
        <v>2693</v>
      </c>
      <c r="C1792" t="s">
        <v>2763</v>
      </c>
      <c r="D1792" t="str">
        <f>"3868"</f>
        <v>3868</v>
      </c>
      <c r="E1792" t="s">
        <v>824</v>
      </c>
    </row>
    <row r="1793" spans="1:5" x14ac:dyDescent="0.25">
      <c r="A1793" t="str">
        <f t="shared" si="86"/>
        <v>17001</v>
      </c>
      <c r="B1793" t="s">
        <v>2693</v>
      </c>
      <c r="C1793" t="s">
        <v>2764</v>
      </c>
      <c r="D1793" t="str">
        <f>"2976"</f>
        <v>2976</v>
      </c>
      <c r="E1793" t="s">
        <v>818</v>
      </c>
    </row>
    <row r="1794" spans="1:5" x14ac:dyDescent="0.25">
      <c r="A1794" t="str">
        <f t="shared" si="86"/>
        <v>17001</v>
      </c>
      <c r="B1794" t="s">
        <v>2693</v>
      </c>
      <c r="C1794" t="s">
        <v>1567</v>
      </c>
      <c r="D1794" t="str">
        <f>"2256"</f>
        <v>2256</v>
      </c>
      <c r="E1794" t="s">
        <v>818</v>
      </c>
    </row>
    <row r="1795" spans="1:5" x14ac:dyDescent="0.25">
      <c r="A1795" t="str">
        <f t="shared" si="86"/>
        <v>17001</v>
      </c>
      <c r="B1795" t="s">
        <v>2693</v>
      </c>
      <c r="C1795" t="s">
        <v>2765</v>
      </c>
      <c r="D1795" t="str">
        <f>"4065"</f>
        <v>4065</v>
      </c>
      <c r="E1795" t="s">
        <v>821</v>
      </c>
    </row>
    <row r="1796" spans="1:5" x14ac:dyDescent="0.25">
      <c r="A1796" t="str">
        <f t="shared" si="86"/>
        <v>17001</v>
      </c>
      <c r="B1796" t="s">
        <v>2693</v>
      </c>
      <c r="C1796" t="s">
        <v>2766</v>
      </c>
      <c r="D1796" t="str">
        <f>"1620"</f>
        <v>1620</v>
      </c>
      <c r="E1796" t="s">
        <v>821</v>
      </c>
    </row>
    <row r="1797" spans="1:5" x14ac:dyDescent="0.25">
      <c r="A1797" t="str">
        <f t="shared" si="86"/>
        <v>17001</v>
      </c>
      <c r="B1797" t="s">
        <v>2693</v>
      </c>
      <c r="C1797" t="s">
        <v>2767</v>
      </c>
      <c r="D1797" t="str">
        <f>"5046"</f>
        <v>5046</v>
      </c>
      <c r="E1797" t="s">
        <v>851</v>
      </c>
    </row>
    <row r="1798" spans="1:5" x14ac:dyDescent="0.25">
      <c r="A1798" t="str">
        <f t="shared" si="86"/>
        <v>17001</v>
      </c>
      <c r="B1798" t="s">
        <v>2693</v>
      </c>
      <c r="C1798" t="s">
        <v>2768</v>
      </c>
      <c r="D1798" t="str">
        <f>"5204"</f>
        <v>5204</v>
      </c>
      <c r="E1798" t="s">
        <v>818</v>
      </c>
    </row>
    <row r="1799" spans="1:5" x14ac:dyDescent="0.25">
      <c r="A1799" t="str">
        <f t="shared" si="86"/>
        <v>17001</v>
      </c>
      <c r="B1799" t="s">
        <v>2693</v>
      </c>
      <c r="C1799" t="s">
        <v>2769</v>
      </c>
      <c r="D1799" t="str">
        <f>"3327"</f>
        <v>3327</v>
      </c>
      <c r="E1799" t="s">
        <v>824</v>
      </c>
    </row>
    <row r="1800" spans="1:5" x14ac:dyDescent="0.25">
      <c r="A1800" t="str">
        <f t="shared" si="86"/>
        <v>17001</v>
      </c>
      <c r="B1800" t="s">
        <v>2693</v>
      </c>
      <c r="C1800" t="s">
        <v>1570</v>
      </c>
      <c r="D1800" t="str">
        <f>"3380"</f>
        <v>3380</v>
      </c>
      <c r="E1800" t="s">
        <v>818</v>
      </c>
    </row>
    <row r="1801" spans="1:5" x14ac:dyDescent="0.25">
      <c r="A1801" t="str">
        <f t="shared" si="86"/>
        <v>17001</v>
      </c>
      <c r="B1801" t="s">
        <v>2693</v>
      </c>
      <c r="C1801" t="s">
        <v>2770</v>
      </c>
      <c r="D1801" t="str">
        <f>"4263"</f>
        <v>4263</v>
      </c>
      <c r="E1801" t="s">
        <v>851</v>
      </c>
    </row>
    <row r="1802" spans="1:5" x14ac:dyDescent="0.25">
      <c r="A1802" t="str">
        <f t="shared" si="86"/>
        <v>17001</v>
      </c>
      <c r="B1802" t="s">
        <v>2693</v>
      </c>
      <c r="C1802" t="s">
        <v>2771</v>
      </c>
      <c r="D1802" t="str">
        <f>"5486"</f>
        <v>5486</v>
      </c>
      <c r="E1802" t="s">
        <v>830</v>
      </c>
    </row>
    <row r="1803" spans="1:5" x14ac:dyDescent="0.25">
      <c r="A1803" t="str">
        <f t="shared" si="86"/>
        <v>17001</v>
      </c>
      <c r="B1803" t="s">
        <v>2693</v>
      </c>
      <c r="C1803" t="s">
        <v>2772</v>
      </c>
      <c r="D1803" t="str">
        <f>"2285"</f>
        <v>2285</v>
      </c>
      <c r="E1803" t="s">
        <v>824</v>
      </c>
    </row>
    <row r="1804" spans="1:5" x14ac:dyDescent="0.25">
      <c r="A1804" t="str">
        <f t="shared" si="86"/>
        <v>17001</v>
      </c>
      <c r="B1804" t="s">
        <v>2693</v>
      </c>
      <c r="C1804" t="s">
        <v>2773</v>
      </c>
      <c r="D1804" t="str">
        <f>"3157"</f>
        <v>3157</v>
      </c>
      <c r="E1804" t="s">
        <v>818</v>
      </c>
    </row>
    <row r="1805" spans="1:5" x14ac:dyDescent="0.25">
      <c r="A1805" t="str">
        <f t="shared" si="86"/>
        <v>17001</v>
      </c>
      <c r="B1805" t="s">
        <v>2693</v>
      </c>
      <c r="C1805" t="s">
        <v>2774</v>
      </c>
      <c r="D1805" t="str">
        <f>"3028"</f>
        <v>3028</v>
      </c>
      <c r="E1805" t="s">
        <v>818</v>
      </c>
    </row>
    <row r="1806" spans="1:5" x14ac:dyDescent="0.25">
      <c r="A1806" t="str">
        <f t="shared" si="86"/>
        <v>17001</v>
      </c>
      <c r="B1806" t="s">
        <v>2693</v>
      </c>
      <c r="C1806" t="s">
        <v>2775</v>
      </c>
      <c r="D1806" t="str">
        <f>"1796"</f>
        <v>1796</v>
      </c>
      <c r="E1806" t="s">
        <v>821</v>
      </c>
    </row>
    <row r="1807" spans="1:5" x14ac:dyDescent="0.25">
      <c r="A1807" t="str">
        <f t="shared" si="86"/>
        <v>17001</v>
      </c>
      <c r="B1807" t="s">
        <v>2693</v>
      </c>
      <c r="C1807" t="s">
        <v>2776</v>
      </c>
      <c r="D1807" t="str">
        <f>"5205"</f>
        <v>5205</v>
      </c>
      <c r="E1807" t="s">
        <v>818</v>
      </c>
    </row>
    <row r="1808" spans="1:5" x14ac:dyDescent="0.25">
      <c r="A1808" t="str">
        <f t="shared" si="86"/>
        <v>17001</v>
      </c>
      <c r="B1808" t="s">
        <v>2693</v>
      </c>
      <c r="C1808" t="s">
        <v>2777</v>
      </c>
      <c r="D1808" t="str">
        <f>"3665"</f>
        <v>3665</v>
      </c>
      <c r="E1808" t="s">
        <v>818</v>
      </c>
    </row>
    <row r="1809" spans="1:5" x14ac:dyDescent="0.25">
      <c r="A1809" t="str">
        <f t="shared" si="86"/>
        <v>17001</v>
      </c>
      <c r="B1809" t="s">
        <v>2693</v>
      </c>
      <c r="C1809" t="s">
        <v>2778</v>
      </c>
      <c r="D1809" t="str">
        <f>"5260"</f>
        <v>5260</v>
      </c>
      <c r="E1809" t="s">
        <v>824</v>
      </c>
    </row>
    <row r="1810" spans="1:5" x14ac:dyDescent="0.25">
      <c r="A1810" t="str">
        <f t="shared" si="86"/>
        <v>17001</v>
      </c>
      <c r="B1810" t="s">
        <v>2693</v>
      </c>
      <c r="C1810" t="s">
        <v>2779</v>
      </c>
      <c r="D1810" t="str">
        <f>"1596"</f>
        <v>1596</v>
      </c>
      <c r="E1810" t="s">
        <v>821</v>
      </c>
    </row>
    <row r="1811" spans="1:5" x14ac:dyDescent="0.25">
      <c r="A1811" t="str">
        <f t="shared" si="86"/>
        <v>17001</v>
      </c>
      <c r="B1811" t="s">
        <v>2693</v>
      </c>
      <c r="C1811" t="s">
        <v>2780</v>
      </c>
      <c r="D1811" t="str">
        <f>"3778"</f>
        <v>3778</v>
      </c>
      <c r="E1811" t="s">
        <v>824</v>
      </c>
    </row>
    <row r="1812" spans="1:5" x14ac:dyDescent="0.25">
      <c r="A1812" t="str">
        <f t="shared" si="86"/>
        <v>17001</v>
      </c>
      <c r="B1812" t="s">
        <v>2693</v>
      </c>
      <c r="C1812" t="s">
        <v>2781</v>
      </c>
      <c r="D1812" t="str">
        <f>"4218"</f>
        <v>4218</v>
      </c>
      <c r="E1812" t="s">
        <v>821</v>
      </c>
    </row>
    <row r="1813" spans="1:5" x14ac:dyDescent="0.25">
      <c r="A1813" t="str">
        <f t="shared" si="86"/>
        <v>17001</v>
      </c>
      <c r="B1813" t="s">
        <v>2693</v>
      </c>
      <c r="C1813" t="s">
        <v>832</v>
      </c>
      <c r="D1813" t="str">
        <f>"2080"</f>
        <v>2080</v>
      </c>
      <c r="E1813" t="s">
        <v>818</v>
      </c>
    </row>
    <row r="1814" spans="1:5" x14ac:dyDescent="0.25">
      <c r="A1814" t="str">
        <f t="shared" si="86"/>
        <v>17001</v>
      </c>
      <c r="B1814" t="s">
        <v>2693</v>
      </c>
      <c r="C1814" t="s">
        <v>2782</v>
      </c>
      <c r="D1814" t="str">
        <f>"1856"</f>
        <v>1856</v>
      </c>
      <c r="E1814" t="s">
        <v>824</v>
      </c>
    </row>
    <row r="1815" spans="1:5" x14ac:dyDescent="0.25">
      <c r="A1815" t="str">
        <f t="shared" si="86"/>
        <v>17001</v>
      </c>
      <c r="B1815" t="s">
        <v>2693</v>
      </c>
      <c r="C1815" t="s">
        <v>2783</v>
      </c>
      <c r="D1815" t="str">
        <f>"3974"</f>
        <v>3974</v>
      </c>
      <c r="E1815" t="s">
        <v>818</v>
      </c>
    </row>
    <row r="1816" spans="1:5" x14ac:dyDescent="0.25">
      <c r="A1816" t="str">
        <f t="shared" si="86"/>
        <v>17001</v>
      </c>
      <c r="B1816" t="s">
        <v>2693</v>
      </c>
      <c r="C1816" t="s">
        <v>2784</v>
      </c>
      <c r="D1816" t="str">
        <f>"2141"</f>
        <v>2141</v>
      </c>
      <c r="E1816" t="s">
        <v>818</v>
      </c>
    </row>
    <row r="1817" spans="1:5" x14ac:dyDescent="0.25">
      <c r="A1817" t="str">
        <f t="shared" ref="A1817:A1828" si="87">"17001"</f>
        <v>17001</v>
      </c>
      <c r="B1817" t="s">
        <v>2693</v>
      </c>
      <c r="C1817" t="s">
        <v>2785</v>
      </c>
      <c r="D1817" t="str">
        <f>"1579"</f>
        <v>1579</v>
      </c>
      <c r="E1817" t="s">
        <v>821</v>
      </c>
    </row>
    <row r="1818" spans="1:5" x14ac:dyDescent="0.25">
      <c r="A1818" t="str">
        <f t="shared" si="87"/>
        <v>17001</v>
      </c>
      <c r="B1818" t="s">
        <v>2693</v>
      </c>
      <c r="C1818" t="s">
        <v>2786</v>
      </c>
      <c r="D1818" t="str">
        <f>"2120"</f>
        <v>2120</v>
      </c>
      <c r="E1818" t="s">
        <v>818</v>
      </c>
    </row>
    <row r="1819" spans="1:5" x14ac:dyDescent="0.25">
      <c r="A1819" t="str">
        <f t="shared" si="87"/>
        <v>17001</v>
      </c>
      <c r="B1819" t="s">
        <v>2693</v>
      </c>
      <c r="C1819" t="s">
        <v>2787</v>
      </c>
      <c r="D1819" t="str">
        <f>"2667"</f>
        <v>2667</v>
      </c>
      <c r="E1819" t="s">
        <v>818</v>
      </c>
    </row>
    <row r="1820" spans="1:5" x14ac:dyDescent="0.25">
      <c r="A1820" t="str">
        <f t="shared" si="87"/>
        <v>17001</v>
      </c>
      <c r="B1820" t="s">
        <v>2693</v>
      </c>
      <c r="C1820" t="s">
        <v>2788</v>
      </c>
      <c r="D1820" t="str">
        <f>"2977"</f>
        <v>2977</v>
      </c>
      <c r="E1820" t="s">
        <v>818</v>
      </c>
    </row>
    <row r="1821" spans="1:5" x14ac:dyDescent="0.25">
      <c r="A1821" t="str">
        <f t="shared" si="87"/>
        <v>17001</v>
      </c>
      <c r="B1821" t="s">
        <v>2693</v>
      </c>
      <c r="C1821" t="s">
        <v>2395</v>
      </c>
      <c r="D1821" t="str">
        <f>"4064"</f>
        <v>4064</v>
      </c>
      <c r="E1821" t="s">
        <v>830</v>
      </c>
    </row>
    <row r="1822" spans="1:5" x14ac:dyDescent="0.25">
      <c r="A1822" t="str">
        <f t="shared" si="87"/>
        <v>17001</v>
      </c>
      <c r="B1822" t="s">
        <v>2693</v>
      </c>
      <c r="C1822" t="s">
        <v>2789</v>
      </c>
      <c r="D1822" t="str">
        <f>"3026"</f>
        <v>3026</v>
      </c>
      <c r="E1822" t="s">
        <v>818</v>
      </c>
    </row>
    <row r="1823" spans="1:5" x14ac:dyDescent="0.25">
      <c r="A1823" t="str">
        <f t="shared" si="87"/>
        <v>17001</v>
      </c>
      <c r="B1823" t="s">
        <v>2693</v>
      </c>
      <c r="C1823" t="s">
        <v>2790</v>
      </c>
      <c r="D1823" t="str">
        <f>"2645"</f>
        <v>2645</v>
      </c>
      <c r="E1823" t="s">
        <v>818</v>
      </c>
    </row>
    <row r="1824" spans="1:5" x14ac:dyDescent="0.25">
      <c r="A1824" t="str">
        <f t="shared" si="87"/>
        <v>17001</v>
      </c>
      <c r="B1824" t="s">
        <v>2693</v>
      </c>
      <c r="C1824" t="s">
        <v>2791</v>
      </c>
      <c r="D1824" t="str">
        <f>"2234"</f>
        <v>2234</v>
      </c>
      <c r="E1824" t="s">
        <v>824</v>
      </c>
    </row>
    <row r="1825" spans="1:5" x14ac:dyDescent="0.25">
      <c r="A1825" t="str">
        <f t="shared" si="87"/>
        <v>17001</v>
      </c>
      <c r="B1825" t="s">
        <v>2693</v>
      </c>
      <c r="C1825" t="s">
        <v>2792</v>
      </c>
      <c r="D1825" t="str">
        <f>"2142"</f>
        <v>2142</v>
      </c>
      <c r="E1825" t="s">
        <v>818</v>
      </c>
    </row>
    <row r="1826" spans="1:5" x14ac:dyDescent="0.25">
      <c r="A1826" t="str">
        <f t="shared" si="87"/>
        <v>17001</v>
      </c>
      <c r="B1826" t="s">
        <v>2693</v>
      </c>
      <c r="C1826" t="s">
        <v>2793</v>
      </c>
      <c r="D1826" t="str">
        <f>"3277"</f>
        <v>3277</v>
      </c>
      <c r="E1826" t="s">
        <v>830</v>
      </c>
    </row>
    <row r="1827" spans="1:5" x14ac:dyDescent="0.25">
      <c r="A1827" t="str">
        <f t="shared" si="87"/>
        <v>17001</v>
      </c>
      <c r="B1827" t="s">
        <v>2693</v>
      </c>
      <c r="C1827" t="s">
        <v>2794</v>
      </c>
      <c r="D1827" t="str">
        <f>"2092"</f>
        <v>2092</v>
      </c>
      <c r="E1827" t="s">
        <v>818</v>
      </c>
    </row>
    <row r="1828" spans="1:5" x14ac:dyDescent="0.25">
      <c r="A1828" t="str">
        <f t="shared" si="87"/>
        <v>17001</v>
      </c>
      <c r="B1828" t="s">
        <v>2693</v>
      </c>
      <c r="C1828" t="s">
        <v>2795</v>
      </c>
      <c r="D1828" t="str">
        <f>"3581"</f>
        <v>3581</v>
      </c>
      <c r="E1828" t="s">
        <v>818</v>
      </c>
    </row>
    <row r="1829" spans="1:5" x14ac:dyDescent="0.25">
      <c r="A1829" t="str">
        <f t="shared" ref="A1829:A1840" si="88">"29101"</f>
        <v>29101</v>
      </c>
      <c r="B1829" t="s">
        <v>2796</v>
      </c>
      <c r="C1829" t="s">
        <v>2797</v>
      </c>
      <c r="D1829" t="str">
        <f>"2521"</f>
        <v>2521</v>
      </c>
      <c r="E1829" t="s">
        <v>818</v>
      </c>
    </row>
    <row r="1830" spans="1:5" x14ac:dyDescent="0.25">
      <c r="A1830" t="str">
        <f t="shared" si="88"/>
        <v>29101</v>
      </c>
      <c r="B1830" t="s">
        <v>2796</v>
      </c>
      <c r="C1830" t="s">
        <v>871</v>
      </c>
      <c r="D1830" t="str">
        <f>"3181"</f>
        <v>3181</v>
      </c>
      <c r="E1830" t="s">
        <v>830</v>
      </c>
    </row>
    <row r="1831" spans="1:5" x14ac:dyDescent="0.25">
      <c r="A1831" t="str">
        <f t="shared" si="88"/>
        <v>29101</v>
      </c>
      <c r="B1831" t="s">
        <v>2796</v>
      </c>
      <c r="C1831" t="s">
        <v>1729</v>
      </c>
      <c r="D1831" t="str">
        <f>"2380"</f>
        <v>2380</v>
      </c>
      <c r="E1831" t="s">
        <v>818</v>
      </c>
    </row>
    <row r="1832" spans="1:5" x14ac:dyDescent="0.25">
      <c r="A1832" t="str">
        <f t="shared" si="88"/>
        <v>29101</v>
      </c>
      <c r="B1832" t="s">
        <v>2796</v>
      </c>
      <c r="C1832" t="s">
        <v>2798</v>
      </c>
      <c r="D1832" t="str">
        <f>"3403"</f>
        <v>3403</v>
      </c>
      <c r="E1832" t="s">
        <v>818</v>
      </c>
    </row>
    <row r="1833" spans="1:5" x14ac:dyDescent="0.25">
      <c r="A1833" t="str">
        <f t="shared" si="88"/>
        <v>29101</v>
      </c>
      <c r="B1833" t="s">
        <v>2796</v>
      </c>
      <c r="C1833" t="s">
        <v>2799</v>
      </c>
      <c r="D1833" t="str">
        <f>"5456"</f>
        <v>5456</v>
      </c>
      <c r="E1833" t="s">
        <v>824</v>
      </c>
    </row>
    <row r="1834" spans="1:5" x14ac:dyDescent="0.25">
      <c r="A1834" t="str">
        <f t="shared" si="88"/>
        <v>29101</v>
      </c>
      <c r="B1834" t="s">
        <v>2796</v>
      </c>
      <c r="C1834" t="s">
        <v>1229</v>
      </c>
      <c r="D1834" t="str">
        <f>"3942"</f>
        <v>3942</v>
      </c>
      <c r="E1834" t="s">
        <v>818</v>
      </c>
    </row>
    <row r="1835" spans="1:5" x14ac:dyDescent="0.25">
      <c r="A1835" t="str">
        <f t="shared" si="88"/>
        <v>29101</v>
      </c>
      <c r="B1835" t="s">
        <v>2796</v>
      </c>
      <c r="C1835" t="s">
        <v>2800</v>
      </c>
      <c r="D1835" t="str">
        <f>"5058"</f>
        <v>5058</v>
      </c>
      <c r="E1835" t="s">
        <v>826</v>
      </c>
    </row>
    <row r="1836" spans="1:5" x14ac:dyDescent="0.25">
      <c r="A1836" t="str">
        <f t="shared" si="88"/>
        <v>29101</v>
      </c>
      <c r="B1836" t="s">
        <v>2796</v>
      </c>
      <c r="C1836" t="s">
        <v>2801</v>
      </c>
      <c r="D1836" t="str">
        <f>"2620"</f>
        <v>2620</v>
      </c>
      <c r="E1836" t="s">
        <v>818</v>
      </c>
    </row>
    <row r="1837" spans="1:5" x14ac:dyDescent="0.25">
      <c r="A1837" t="str">
        <f t="shared" si="88"/>
        <v>29101</v>
      </c>
      <c r="B1837" t="s">
        <v>2796</v>
      </c>
      <c r="C1837" t="s">
        <v>2802</v>
      </c>
      <c r="D1837" t="str">
        <f>"2774"</f>
        <v>2774</v>
      </c>
      <c r="E1837" t="s">
        <v>818</v>
      </c>
    </row>
    <row r="1838" spans="1:5" x14ac:dyDescent="0.25">
      <c r="A1838" t="str">
        <f t="shared" si="88"/>
        <v>29101</v>
      </c>
      <c r="B1838" t="s">
        <v>2796</v>
      </c>
      <c r="C1838" t="s">
        <v>2803</v>
      </c>
      <c r="D1838" t="str">
        <f>"3402"</f>
        <v>3402</v>
      </c>
      <c r="E1838" t="s">
        <v>818</v>
      </c>
    </row>
    <row r="1839" spans="1:5" x14ac:dyDescent="0.25">
      <c r="A1839" t="str">
        <f t="shared" si="88"/>
        <v>29101</v>
      </c>
      <c r="B1839" t="s">
        <v>2796</v>
      </c>
      <c r="C1839" t="s">
        <v>2804</v>
      </c>
      <c r="D1839" t="str">
        <f>"2150"</f>
        <v>2150</v>
      </c>
      <c r="E1839" t="s">
        <v>824</v>
      </c>
    </row>
    <row r="1840" spans="1:5" x14ac:dyDescent="0.25">
      <c r="A1840" t="str">
        <f t="shared" si="88"/>
        <v>29101</v>
      </c>
      <c r="B1840" t="s">
        <v>2796</v>
      </c>
      <c r="C1840" t="s">
        <v>2805</v>
      </c>
      <c r="D1840" t="str">
        <f>"1537"</f>
        <v>1537</v>
      </c>
      <c r="E1840" t="s">
        <v>824</v>
      </c>
    </row>
    <row r="1841" spans="1:5" x14ac:dyDescent="0.25">
      <c r="A1841" t="str">
        <f t="shared" ref="A1841:A1848" si="89">"39119"</f>
        <v>39119</v>
      </c>
      <c r="B1841" t="s">
        <v>2806</v>
      </c>
      <c r="C1841" t="s">
        <v>2807</v>
      </c>
      <c r="D1841" t="str">
        <f>"5383"</f>
        <v>5383</v>
      </c>
      <c r="E1841" t="s">
        <v>818</v>
      </c>
    </row>
    <row r="1842" spans="1:5" x14ac:dyDescent="0.25">
      <c r="A1842" t="str">
        <f t="shared" si="89"/>
        <v>39119</v>
      </c>
      <c r="B1842" t="s">
        <v>2806</v>
      </c>
      <c r="C1842" t="s">
        <v>2808</v>
      </c>
      <c r="D1842" t="str">
        <f>"5232"</f>
        <v>5232</v>
      </c>
      <c r="E1842" t="s">
        <v>826</v>
      </c>
    </row>
    <row r="1843" spans="1:5" x14ac:dyDescent="0.25">
      <c r="A1843" t="str">
        <f t="shared" si="89"/>
        <v>39119</v>
      </c>
      <c r="B1843" t="s">
        <v>2806</v>
      </c>
      <c r="C1843" t="s">
        <v>2809</v>
      </c>
      <c r="D1843" t="str">
        <f>"4272"</f>
        <v>4272</v>
      </c>
      <c r="E1843" t="s">
        <v>824</v>
      </c>
    </row>
    <row r="1844" spans="1:5" x14ac:dyDescent="0.25">
      <c r="A1844" t="str">
        <f t="shared" si="89"/>
        <v>39119</v>
      </c>
      <c r="B1844" t="s">
        <v>2806</v>
      </c>
      <c r="C1844" t="s">
        <v>2810</v>
      </c>
      <c r="D1844" t="str">
        <f>"5334"</f>
        <v>5334</v>
      </c>
      <c r="E1844" t="s">
        <v>824</v>
      </c>
    </row>
    <row r="1845" spans="1:5" x14ac:dyDescent="0.25">
      <c r="A1845" t="str">
        <f t="shared" si="89"/>
        <v>39119</v>
      </c>
      <c r="B1845" t="s">
        <v>2806</v>
      </c>
      <c r="C1845" t="s">
        <v>2811</v>
      </c>
      <c r="D1845" t="str">
        <f>"2388"</f>
        <v>2388</v>
      </c>
      <c r="E1845" t="s">
        <v>824</v>
      </c>
    </row>
    <row r="1846" spans="1:5" x14ac:dyDescent="0.25">
      <c r="A1846" t="str">
        <f t="shared" si="89"/>
        <v>39119</v>
      </c>
      <c r="B1846" t="s">
        <v>2806</v>
      </c>
      <c r="C1846" t="s">
        <v>2812</v>
      </c>
      <c r="D1846" t="str">
        <f>"5231"</f>
        <v>5231</v>
      </c>
      <c r="E1846" t="s">
        <v>821</v>
      </c>
    </row>
    <row r="1847" spans="1:5" x14ac:dyDescent="0.25">
      <c r="A1847" t="str">
        <f t="shared" si="89"/>
        <v>39119</v>
      </c>
      <c r="B1847" t="s">
        <v>2806</v>
      </c>
      <c r="C1847" t="s">
        <v>2813</v>
      </c>
      <c r="D1847" t="str">
        <f>"5384"</f>
        <v>5384</v>
      </c>
      <c r="E1847" t="s">
        <v>818</v>
      </c>
    </row>
    <row r="1848" spans="1:5" x14ac:dyDescent="0.25">
      <c r="A1848" t="str">
        <f t="shared" si="89"/>
        <v>39119</v>
      </c>
      <c r="B1848" t="s">
        <v>2806</v>
      </c>
      <c r="C1848" t="s">
        <v>2814</v>
      </c>
      <c r="D1848" t="str">
        <f>"5385"</f>
        <v>5385</v>
      </c>
      <c r="E1848" t="s">
        <v>830</v>
      </c>
    </row>
    <row r="1849" spans="1:5" x14ac:dyDescent="0.25">
      <c r="A1849" t="str">
        <f>"26070"</f>
        <v>26070</v>
      </c>
      <c r="B1849" t="s">
        <v>2815</v>
      </c>
      <c r="C1849" t="s">
        <v>2816</v>
      </c>
      <c r="D1849" t="str">
        <f>"5075"</f>
        <v>5075</v>
      </c>
      <c r="E1849" t="s">
        <v>818</v>
      </c>
    </row>
    <row r="1850" spans="1:5" x14ac:dyDescent="0.25">
      <c r="A1850" t="str">
        <f>"26070"</f>
        <v>26070</v>
      </c>
      <c r="B1850" t="s">
        <v>2815</v>
      </c>
      <c r="C1850" t="s">
        <v>2817</v>
      </c>
      <c r="D1850" t="str">
        <f>"5226"</f>
        <v>5226</v>
      </c>
      <c r="E1850" t="s">
        <v>824</v>
      </c>
    </row>
    <row r="1851" spans="1:5" x14ac:dyDescent="0.25">
      <c r="A1851" t="str">
        <f>"26070"</f>
        <v>26070</v>
      </c>
      <c r="B1851" t="s">
        <v>2815</v>
      </c>
      <c r="C1851" t="s">
        <v>2818</v>
      </c>
      <c r="D1851" t="str">
        <f>"5225"</f>
        <v>5225</v>
      </c>
      <c r="E1851" t="s">
        <v>830</v>
      </c>
    </row>
    <row r="1852" spans="1:5" x14ac:dyDescent="0.25">
      <c r="A1852" t="str">
        <f>"05323"</f>
        <v>05323</v>
      </c>
      <c r="B1852" t="s">
        <v>2819</v>
      </c>
      <c r="C1852" t="s">
        <v>2820</v>
      </c>
      <c r="D1852" t="str">
        <f>"4378"</f>
        <v>4378</v>
      </c>
      <c r="E1852" t="s">
        <v>818</v>
      </c>
    </row>
    <row r="1853" spans="1:5" x14ac:dyDescent="0.25">
      <c r="A1853" t="str">
        <f>"05323"</f>
        <v>05323</v>
      </c>
      <c r="B1853" t="s">
        <v>2819</v>
      </c>
      <c r="C1853" t="s">
        <v>2821</v>
      </c>
      <c r="D1853" t="str">
        <f>"2722"</f>
        <v>2722</v>
      </c>
      <c r="E1853" t="s">
        <v>818</v>
      </c>
    </row>
    <row r="1854" spans="1:5" x14ac:dyDescent="0.25">
      <c r="A1854" t="str">
        <f>"05323"</f>
        <v>05323</v>
      </c>
      <c r="B1854" t="s">
        <v>2819</v>
      </c>
      <c r="C1854" t="s">
        <v>2822</v>
      </c>
      <c r="D1854" t="str">
        <f>"1708"</f>
        <v>1708</v>
      </c>
      <c r="E1854" t="s">
        <v>851</v>
      </c>
    </row>
    <row r="1855" spans="1:5" x14ac:dyDescent="0.25">
      <c r="A1855" t="str">
        <f>"05323"</f>
        <v>05323</v>
      </c>
      <c r="B1855" t="s">
        <v>2819</v>
      </c>
      <c r="C1855" t="s">
        <v>2823</v>
      </c>
      <c r="D1855" t="str">
        <f>"4519"</f>
        <v>4519</v>
      </c>
      <c r="E1855" t="s">
        <v>830</v>
      </c>
    </row>
    <row r="1856" spans="1:5" x14ac:dyDescent="0.25">
      <c r="A1856" t="str">
        <f>"05323"</f>
        <v>05323</v>
      </c>
      <c r="B1856" t="s">
        <v>2819</v>
      </c>
      <c r="C1856" t="s">
        <v>2824</v>
      </c>
      <c r="D1856" t="str">
        <f>"2471"</f>
        <v>2471</v>
      </c>
      <c r="E1856" t="s">
        <v>824</v>
      </c>
    </row>
    <row r="1857" spans="1:5" x14ac:dyDescent="0.25">
      <c r="A1857" t="str">
        <f>"28010"</f>
        <v>28010</v>
      </c>
      <c r="B1857" t="s">
        <v>2825</v>
      </c>
      <c r="C1857" t="s">
        <v>2826</v>
      </c>
      <c r="D1857" t="str">
        <f>"3725"</f>
        <v>3725</v>
      </c>
      <c r="E1857" t="s">
        <v>821</v>
      </c>
    </row>
    <row r="1858" spans="1:5" x14ac:dyDescent="0.25">
      <c r="A1858" t="str">
        <f t="shared" ref="A1858:A1866" si="90">"23309"</f>
        <v>23309</v>
      </c>
      <c r="B1858" t="s">
        <v>2827</v>
      </c>
      <c r="C1858" t="s">
        <v>2828</v>
      </c>
      <c r="D1858" t="str">
        <f>"3291"</f>
        <v>3291</v>
      </c>
      <c r="E1858" t="s">
        <v>818</v>
      </c>
    </row>
    <row r="1859" spans="1:5" x14ac:dyDescent="0.25">
      <c r="A1859" t="str">
        <f t="shared" si="90"/>
        <v>23309</v>
      </c>
      <c r="B1859" t="s">
        <v>2827</v>
      </c>
      <c r="C1859" t="s">
        <v>2829</v>
      </c>
      <c r="D1859" t="str">
        <f>"4288"</f>
        <v>4288</v>
      </c>
      <c r="E1859" t="s">
        <v>859</v>
      </c>
    </row>
    <row r="1860" spans="1:5" x14ac:dyDescent="0.25">
      <c r="A1860" t="str">
        <f t="shared" si="90"/>
        <v>23309</v>
      </c>
      <c r="B1860" t="s">
        <v>2827</v>
      </c>
      <c r="C1860" t="s">
        <v>1229</v>
      </c>
      <c r="D1860" t="str">
        <f>"2745"</f>
        <v>2745</v>
      </c>
      <c r="E1860" t="s">
        <v>818</v>
      </c>
    </row>
    <row r="1861" spans="1:5" x14ac:dyDescent="0.25">
      <c r="A1861" t="str">
        <f t="shared" si="90"/>
        <v>23309</v>
      </c>
      <c r="B1861" t="s">
        <v>2827</v>
      </c>
      <c r="C1861" t="s">
        <v>2830</v>
      </c>
      <c r="D1861" t="str">
        <f>"1888"</f>
        <v>1888</v>
      </c>
      <c r="E1861" t="s">
        <v>821</v>
      </c>
    </row>
    <row r="1862" spans="1:5" x14ac:dyDescent="0.25">
      <c r="A1862" t="str">
        <f t="shared" si="90"/>
        <v>23309</v>
      </c>
      <c r="B1862" t="s">
        <v>2827</v>
      </c>
      <c r="C1862" t="s">
        <v>2281</v>
      </c>
      <c r="D1862" t="str">
        <f>"3292"</f>
        <v>3292</v>
      </c>
      <c r="E1862" t="s">
        <v>818</v>
      </c>
    </row>
    <row r="1863" spans="1:5" x14ac:dyDescent="0.25">
      <c r="A1863" t="str">
        <f t="shared" si="90"/>
        <v>23309</v>
      </c>
      <c r="B1863" t="s">
        <v>2827</v>
      </c>
      <c r="C1863" t="s">
        <v>2831</v>
      </c>
      <c r="D1863" t="str">
        <f>"4363"</f>
        <v>4363</v>
      </c>
      <c r="E1863" t="s">
        <v>824</v>
      </c>
    </row>
    <row r="1864" spans="1:5" x14ac:dyDescent="0.25">
      <c r="A1864" t="str">
        <f t="shared" si="90"/>
        <v>23309</v>
      </c>
      <c r="B1864" t="s">
        <v>2827</v>
      </c>
      <c r="C1864" t="s">
        <v>882</v>
      </c>
      <c r="D1864" t="str">
        <f>"4586"</f>
        <v>4586</v>
      </c>
      <c r="E1864" t="s">
        <v>830</v>
      </c>
    </row>
    <row r="1865" spans="1:5" x14ac:dyDescent="0.25">
      <c r="A1865" t="str">
        <f t="shared" si="90"/>
        <v>23309</v>
      </c>
      <c r="B1865" t="s">
        <v>2827</v>
      </c>
      <c r="C1865" t="s">
        <v>2832</v>
      </c>
      <c r="D1865" t="str">
        <f>"3241"</f>
        <v>3241</v>
      </c>
      <c r="E1865" t="s">
        <v>824</v>
      </c>
    </row>
    <row r="1866" spans="1:5" x14ac:dyDescent="0.25">
      <c r="A1866" t="str">
        <f t="shared" si="90"/>
        <v>23309</v>
      </c>
      <c r="B1866" t="s">
        <v>2827</v>
      </c>
      <c r="C1866" t="s">
        <v>2833</v>
      </c>
      <c r="D1866" t="str">
        <f>"5548"</f>
        <v>5548</v>
      </c>
      <c r="E1866" t="s">
        <v>824</v>
      </c>
    </row>
    <row r="1867" spans="1:5" x14ac:dyDescent="0.25">
      <c r="A1867" t="str">
        <f t="shared" ref="A1867:A1885" si="91">"17412"</f>
        <v>17412</v>
      </c>
      <c r="B1867" t="s">
        <v>2834</v>
      </c>
      <c r="C1867" t="s">
        <v>2835</v>
      </c>
      <c r="D1867" t="str">
        <f>"3674"</f>
        <v>3674</v>
      </c>
      <c r="E1867" t="s">
        <v>830</v>
      </c>
    </row>
    <row r="1868" spans="1:5" x14ac:dyDescent="0.25">
      <c r="A1868" t="str">
        <f t="shared" si="91"/>
        <v>17412</v>
      </c>
      <c r="B1868" t="s">
        <v>2834</v>
      </c>
      <c r="C1868" t="s">
        <v>2836</v>
      </c>
      <c r="D1868" t="str">
        <f>"2990"</f>
        <v>2990</v>
      </c>
      <c r="E1868" t="s">
        <v>818</v>
      </c>
    </row>
    <row r="1869" spans="1:5" x14ac:dyDescent="0.25">
      <c r="A1869" t="str">
        <f t="shared" si="91"/>
        <v>17412</v>
      </c>
      <c r="B1869" t="s">
        <v>2834</v>
      </c>
      <c r="C1869" t="s">
        <v>2837</v>
      </c>
      <c r="D1869" t="str">
        <f>"3230"</f>
        <v>3230</v>
      </c>
      <c r="E1869" t="s">
        <v>818</v>
      </c>
    </row>
    <row r="1870" spans="1:5" x14ac:dyDescent="0.25">
      <c r="A1870" t="str">
        <f t="shared" si="91"/>
        <v>17412</v>
      </c>
      <c r="B1870" t="s">
        <v>2834</v>
      </c>
      <c r="C1870" t="s">
        <v>2838</v>
      </c>
      <c r="D1870" t="str">
        <f>"1942"</f>
        <v>1942</v>
      </c>
      <c r="E1870" t="s">
        <v>821</v>
      </c>
    </row>
    <row r="1871" spans="1:5" x14ac:dyDescent="0.25">
      <c r="A1871" t="str">
        <f t="shared" si="91"/>
        <v>17412</v>
      </c>
      <c r="B1871" t="s">
        <v>2834</v>
      </c>
      <c r="C1871" t="s">
        <v>2839</v>
      </c>
      <c r="D1871" t="str">
        <f>"5287"</f>
        <v>5287</v>
      </c>
      <c r="E1871" t="s">
        <v>826</v>
      </c>
    </row>
    <row r="1872" spans="1:5" x14ac:dyDescent="0.25">
      <c r="A1872" t="str">
        <f t="shared" si="91"/>
        <v>17412</v>
      </c>
      <c r="B1872" t="s">
        <v>2834</v>
      </c>
      <c r="C1872" t="s">
        <v>2840</v>
      </c>
      <c r="D1872" t="str">
        <f>"3104"</f>
        <v>3104</v>
      </c>
      <c r="E1872" t="s">
        <v>818</v>
      </c>
    </row>
    <row r="1873" spans="1:5" x14ac:dyDescent="0.25">
      <c r="A1873" t="str">
        <f t="shared" si="91"/>
        <v>17412</v>
      </c>
      <c r="B1873" t="s">
        <v>2834</v>
      </c>
      <c r="C1873" t="s">
        <v>2841</v>
      </c>
      <c r="D1873" t="str">
        <f>"2612"</f>
        <v>2612</v>
      </c>
      <c r="E1873" t="s">
        <v>859</v>
      </c>
    </row>
    <row r="1874" spans="1:5" x14ac:dyDescent="0.25">
      <c r="A1874" t="str">
        <f t="shared" si="91"/>
        <v>17412</v>
      </c>
      <c r="B1874" t="s">
        <v>2834</v>
      </c>
      <c r="C1874" t="s">
        <v>2842</v>
      </c>
      <c r="D1874" t="str">
        <f>"1667"</f>
        <v>1667</v>
      </c>
      <c r="E1874" t="s">
        <v>851</v>
      </c>
    </row>
    <row r="1875" spans="1:5" x14ac:dyDescent="0.25">
      <c r="A1875" t="str">
        <f t="shared" si="91"/>
        <v>17412</v>
      </c>
      <c r="B1875" t="s">
        <v>2834</v>
      </c>
      <c r="C1875" t="s">
        <v>1696</v>
      </c>
      <c r="D1875" t="str">
        <f>"5314"</f>
        <v>5314</v>
      </c>
      <c r="E1875" t="s">
        <v>826</v>
      </c>
    </row>
    <row r="1876" spans="1:5" x14ac:dyDescent="0.25">
      <c r="A1876" t="str">
        <f t="shared" si="91"/>
        <v>17412</v>
      </c>
      <c r="B1876" t="s">
        <v>2834</v>
      </c>
      <c r="C1876" t="s">
        <v>2843</v>
      </c>
      <c r="D1876" t="str">
        <f>"3231"</f>
        <v>3231</v>
      </c>
      <c r="E1876" t="s">
        <v>818</v>
      </c>
    </row>
    <row r="1877" spans="1:5" x14ac:dyDescent="0.25">
      <c r="A1877" t="str">
        <f t="shared" si="91"/>
        <v>17412</v>
      </c>
      <c r="B1877" t="s">
        <v>2834</v>
      </c>
      <c r="C1877" t="s">
        <v>2844</v>
      </c>
      <c r="D1877" t="str">
        <f>"1771"</f>
        <v>1771</v>
      </c>
      <c r="E1877" t="s">
        <v>821</v>
      </c>
    </row>
    <row r="1878" spans="1:5" x14ac:dyDescent="0.25">
      <c r="A1878" t="str">
        <f t="shared" si="91"/>
        <v>17412</v>
      </c>
      <c r="B1878" t="s">
        <v>2834</v>
      </c>
      <c r="C1878" t="s">
        <v>2845</v>
      </c>
      <c r="D1878" t="str">
        <f>"3387"</f>
        <v>3387</v>
      </c>
      <c r="E1878" t="s">
        <v>830</v>
      </c>
    </row>
    <row r="1879" spans="1:5" x14ac:dyDescent="0.25">
      <c r="A1879" t="str">
        <f t="shared" si="91"/>
        <v>17412</v>
      </c>
      <c r="B1879" t="s">
        <v>2834</v>
      </c>
      <c r="C1879" t="s">
        <v>2846</v>
      </c>
      <c r="D1879" t="str">
        <f>"2185"</f>
        <v>2185</v>
      </c>
      <c r="E1879" t="s">
        <v>818</v>
      </c>
    </row>
    <row r="1880" spans="1:5" x14ac:dyDescent="0.25">
      <c r="A1880" t="str">
        <f t="shared" si="91"/>
        <v>17412</v>
      </c>
      <c r="B1880" t="s">
        <v>2834</v>
      </c>
      <c r="C1880" t="s">
        <v>2847</v>
      </c>
      <c r="D1880" t="str">
        <f>"3527"</f>
        <v>3527</v>
      </c>
      <c r="E1880" t="s">
        <v>818</v>
      </c>
    </row>
    <row r="1881" spans="1:5" x14ac:dyDescent="0.25">
      <c r="A1881" t="str">
        <f t="shared" si="91"/>
        <v>17412</v>
      </c>
      <c r="B1881" t="s">
        <v>2834</v>
      </c>
      <c r="C1881" t="s">
        <v>2848</v>
      </c>
      <c r="D1881" t="str">
        <f>"3958"</f>
        <v>3958</v>
      </c>
      <c r="E1881" t="s">
        <v>818</v>
      </c>
    </row>
    <row r="1882" spans="1:5" x14ac:dyDescent="0.25">
      <c r="A1882" t="str">
        <f t="shared" si="91"/>
        <v>17412</v>
      </c>
      <c r="B1882" t="s">
        <v>2834</v>
      </c>
      <c r="C1882" t="s">
        <v>2849</v>
      </c>
      <c r="D1882" t="str">
        <f>"3489"</f>
        <v>3489</v>
      </c>
      <c r="E1882" t="s">
        <v>818</v>
      </c>
    </row>
    <row r="1883" spans="1:5" x14ac:dyDescent="0.25">
      <c r="A1883" t="str">
        <f t="shared" si="91"/>
        <v>17412</v>
      </c>
      <c r="B1883" t="s">
        <v>2834</v>
      </c>
      <c r="C1883" t="s">
        <v>2551</v>
      </c>
      <c r="D1883" t="str">
        <f>"2703"</f>
        <v>2703</v>
      </c>
      <c r="E1883" t="s">
        <v>818</v>
      </c>
    </row>
    <row r="1884" spans="1:5" x14ac:dyDescent="0.25">
      <c r="A1884" t="str">
        <f t="shared" si="91"/>
        <v>17412</v>
      </c>
      <c r="B1884" t="s">
        <v>2834</v>
      </c>
      <c r="C1884" t="s">
        <v>2850</v>
      </c>
      <c r="D1884" t="str">
        <f>"3343"</f>
        <v>3343</v>
      </c>
      <c r="E1884" t="s">
        <v>824</v>
      </c>
    </row>
    <row r="1885" spans="1:5" x14ac:dyDescent="0.25">
      <c r="A1885" t="str">
        <f t="shared" si="91"/>
        <v>17412</v>
      </c>
      <c r="B1885" t="s">
        <v>2834</v>
      </c>
      <c r="C1885" t="s">
        <v>2851</v>
      </c>
      <c r="D1885" t="str">
        <f>"3921"</f>
        <v>3921</v>
      </c>
      <c r="E1885" t="s">
        <v>824</v>
      </c>
    </row>
    <row r="1886" spans="1:5" x14ac:dyDescent="0.25">
      <c r="A1886" t="str">
        <f>"30002"</f>
        <v>30002</v>
      </c>
      <c r="B1886" t="s">
        <v>2852</v>
      </c>
      <c r="C1886" t="s">
        <v>2853</v>
      </c>
      <c r="D1886" t="str">
        <f>"3405"</f>
        <v>3405</v>
      </c>
      <c r="E1886" t="s">
        <v>821</v>
      </c>
    </row>
    <row r="1887" spans="1:5" x14ac:dyDescent="0.25">
      <c r="A1887" t="str">
        <f>"17404"</f>
        <v>17404</v>
      </c>
      <c r="B1887" t="s">
        <v>2854</v>
      </c>
      <c r="C1887" t="s">
        <v>2855</v>
      </c>
      <c r="D1887" t="str">
        <f>"2512"</f>
        <v>2512</v>
      </c>
      <c r="E1887" t="s">
        <v>821</v>
      </c>
    </row>
    <row r="1888" spans="1:5" x14ac:dyDescent="0.25">
      <c r="A1888" t="str">
        <f>"17404"</f>
        <v>17404</v>
      </c>
      <c r="B1888" t="s">
        <v>2854</v>
      </c>
      <c r="C1888" t="s">
        <v>2856</v>
      </c>
      <c r="D1888" t="str">
        <f>"2513"</f>
        <v>2513</v>
      </c>
      <c r="E1888" t="s">
        <v>824</v>
      </c>
    </row>
    <row r="1889" spans="1:5" x14ac:dyDescent="0.25">
      <c r="A1889" t="str">
        <f t="shared" ref="A1889:A1907" si="92">"31201"</f>
        <v>31201</v>
      </c>
      <c r="B1889" t="s">
        <v>2857</v>
      </c>
      <c r="C1889" t="s">
        <v>2858</v>
      </c>
      <c r="D1889" t="str">
        <f>"4265"</f>
        <v>4265</v>
      </c>
      <c r="E1889" t="s">
        <v>824</v>
      </c>
    </row>
    <row r="1890" spans="1:5" x14ac:dyDescent="0.25">
      <c r="A1890" t="str">
        <f t="shared" si="92"/>
        <v>31201</v>
      </c>
      <c r="B1890" t="s">
        <v>2857</v>
      </c>
      <c r="C1890" t="s">
        <v>2859</v>
      </c>
      <c r="D1890" t="str">
        <f>"4366"</f>
        <v>4366</v>
      </c>
      <c r="E1890" t="s">
        <v>818</v>
      </c>
    </row>
    <row r="1891" spans="1:5" x14ac:dyDescent="0.25">
      <c r="A1891" t="str">
        <f t="shared" si="92"/>
        <v>31201</v>
      </c>
      <c r="B1891" t="s">
        <v>2857</v>
      </c>
      <c r="C1891" t="s">
        <v>2860</v>
      </c>
      <c r="D1891" t="str">
        <f>"3305"</f>
        <v>3305</v>
      </c>
      <c r="E1891" t="s">
        <v>818</v>
      </c>
    </row>
    <row r="1892" spans="1:5" x14ac:dyDescent="0.25">
      <c r="A1892" t="str">
        <f t="shared" si="92"/>
        <v>31201</v>
      </c>
      <c r="B1892" t="s">
        <v>2857</v>
      </c>
      <c r="C1892" t="s">
        <v>2861</v>
      </c>
      <c r="D1892" t="str">
        <f>"4395"</f>
        <v>4395</v>
      </c>
      <c r="E1892" t="s">
        <v>830</v>
      </c>
    </row>
    <row r="1893" spans="1:5" x14ac:dyDescent="0.25">
      <c r="A1893" t="str">
        <f t="shared" si="92"/>
        <v>31201</v>
      </c>
      <c r="B1893" t="s">
        <v>2857</v>
      </c>
      <c r="C1893" t="s">
        <v>1589</v>
      </c>
      <c r="D1893" t="str">
        <f>"2446"</f>
        <v>2446</v>
      </c>
      <c r="E1893" t="s">
        <v>818</v>
      </c>
    </row>
    <row r="1894" spans="1:5" x14ac:dyDescent="0.25">
      <c r="A1894" t="str">
        <f t="shared" si="92"/>
        <v>31201</v>
      </c>
      <c r="B1894" t="s">
        <v>2857</v>
      </c>
      <c r="C1894" t="s">
        <v>2862</v>
      </c>
      <c r="D1894" t="str">
        <f>"4241"</f>
        <v>4241</v>
      </c>
      <c r="E1894" t="s">
        <v>818</v>
      </c>
    </row>
    <row r="1895" spans="1:5" x14ac:dyDescent="0.25">
      <c r="A1895" t="str">
        <f t="shared" si="92"/>
        <v>31201</v>
      </c>
      <c r="B1895" t="s">
        <v>2857</v>
      </c>
      <c r="C1895" t="s">
        <v>1730</v>
      </c>
      <c r="D1895" t="str">
        <f>"3005"</f>
        <v>3005</v>
      </c>
      <c r="E1895" t="s">
        <v>818</v>
      </c>
    </row>
    <row r="1896" spans="1:5" x14ac:dyDescent="0.25">
      <c r="A1896" t="str">
        <f t="shared" si="92"/>
        <v>31201</v>
      </c>
      <c r="B1896" t="s">
        <v>2857</v>
      </c>
      <c r="C1896" t="s">
        <v>2863</v>
      </c>
      <c r="D1896" t="str">
        <f>"5128"</f>
        <v>5128</v>
      </c>
      <c r="E1896" t="s">
        <v>824</v>
      </c>
    </row>
    <row r="1897" spans="1:5" x14ac:dyDescent="0.25">
      <c r="A1897" t="str">
        <f t="shared" si="92"/>
        <v>31201</v>
      </c>
      <c r="B1897" t="s">
        <v>2857</v>
      </c>
      <c r="C1897" t="s">
        <v>2864</v>
      </c>
      <c r="D1897" t="str">
        <f>"3981"</f>
        <v>3981</v>
      </c>
      <c r="E1897" t="s">
        <v>824</v>
      </c>
    </row>
    <row r="1898" spans="1:5" x14ac:dyDescent="0.25">
      <c r="A1898" t="str">
        <f t="shared" si="92"/>
        <v>31201</v>
      </c>
      <c r="B1898" t="s">
        <v>2857</v>
      </c>
      <c r="C1898" t="s">
        <v>2865</v>
      </c>
      <c r="D1898" t="str">
        <f>"5100"</f>
        <v>5100</v>
      </c>
      <c r="E1898" t="s">
        <v>818</v>
      </c>
    </row>
    <row r="1899" spans="1:5" x14ac:dyDescent="0.25">
      <c r="A1899" t="str">
        <f t="shared" si="92"/>
        <v>31201</v>
      </c>
      <c r="B1899" t="s">
        <v>2857</v>
      </c>
      <c r="C1899" t="s">
        <v>2866</v>
      </c>
      <c r="D1899" t="str">
        <f>"2073"</f>
        <v>2073</v>
      </c>
      <c r="E1899" t="s">
        <v>818</v>
      </c>
    </row>
    <row r="1900" spans="1:5" x14ac:dyDescent="0.25">
      <c r="A1900" t="str">
        <f t="shared" si="92"/>
        <v>31201</v>
      </c>
      <c r="B1900" t="s">
        <v>2857</v>
      </c>
      <c r="C1900" t="s">
        <v>2867</v>
      </c>
      <c r="D1900" t="str">
        <f>"1904"</f>
        <v>1904</v>
      </c>
      <c r="E1900" t="s">
        <v>859</v>
      </c>
    </row>
    <row r="1901" spans="1:5" x14ac:dyDescent="0.25">
      <c r="A1901" t="str">
        <f t="shared" si="92"/>
        <v>31201</v>
      </c>
      <c r="B1901" t="s">
        <v>2857</v>
      </c>
      <c r="C1901" t="s">
        <v>2868</v>
      </c>
      <c r="D1901" t="str">
        <f>"3561"</f>
        <v>3561</v>
      </c>
      <c r="E1901" t="s">
        <v>818</v>
      </c>
    </row>
    <row r="1902" spans="1:5" x14ac:dyDescent="0.25">
      <c r="A1902" t="str">
        <f t="shared" si="92"/>
        <v>31201</v>
      </c>
      <c r="B1902" t="s">
        <v>2857</v>
      </c>
      <c r="C1902" t="s">
        <v>2869</v>
      </c>
      <c r="D1902" t="str">
        <f>"4184"</f>
        <v>4184</v>
      </c>
      <c r="E1902" t="s">
        <v>818</v>
      </c>
    </row>
    <row r="1903" spans="1:5" x14ac:dyDescent="0.25">
      <c r="A1903" t="str">
        <f t="shared" si="92"/>
        <v>31201</v>
      </c>
      <c r="B1903" t="s">
        <v>2857</v>
      </c>
      <c r="C1903" t="s">
        <v>2870</v>
      </c>
      <c r="D1903" t="str">
        <f>"1730"</f>
        <v>1730</v>
      </c>
      <c r="E1903" t="s">
        <v>859</v>
      </c>
    </row>
    <row r="1904" spans="1:5" x14ac:dyDescent="0.25">
      <c r="A1904" t="str">
        <f t="shared" si="92"/>
        <v>31201</v>
      </c>
      <c r="B1904" t="s">
        <v>2857</v>
      </c>
      <c r="C1904" t="s">
        <v>2871</v>
      </c>
      <c r="D1904" t="str">
        <f>"2428"</f>
        <v>2428</v>
      </c>
      <c r="E1904" t="s">
        <v>824</v>
      </c>
    </row>
    <row r="1905" spans="1:5" x14ac:dyDescent="0.25">
      <c r="A1905" t="str">
        <f t="shared" si="92"/>
        <v>31201</v>
      </c>
      <c r="B1905" t="s">
        <v>2857</v>
      </c>
      <c r="C1905" t="s">
        <v>2872</v>
      </c>
      <c r="D1905" t="str">
        <f>"1757"</f>
        <v>1757</v>
      </c>
      <c r="E1905" t="s">
        <v>821</v>
      </c>
    </row>
    <row r="1906" spans="1:5" x14ac:dyDescent="0.25">
      <c r="A1906" t="str">
        <f t="shared" si="92"/>
        <v>31201</v>
      </c>
      <c r="B1906" t="s">
        <v>2857</v>
      </c>
      <c r="C1906" t="s">
        <v>2873</v>
      </c>
      <c r="D1906" t="str">
        <f>"4383"</f>
        <v>4383</v>
      </c>
      <c r="E1906" t="s">
        <v>818</v>
      </c>
    </row>
    <row r="1907" spans="1:5" x14ac:dyDescent="0.25">
      <c r="A1907" t="str">
        <f t="shared" si="92"/>
        <v>31201</v>
      </c>
      <c r="B1907" t="s">
        <v>2857</v>
      </c>
      <c r="C1907" t="s">
        <v>2874</v>
      </c>
      <c r="D1907" t="str">
        <f>"4145"</f>
        <v>4145</v>
      </c>
      <c r="E1907" t="s">
        <v>830</v>
      </c>
    </row>
    <row r="1908" spans="1:5" x14ac:dyDescent="0.25">
      <c r="A1908" t="str">
        <f t="shared" ref="A1908:A1920" si="93">"17410"</f>
        <v>17410</v>
      </c>
      <c r="B1908" t="s">
        <v>2875</v>
      </c>
      <c r="C1908" t="s">
        <v>2876</v>
      </c>
      <c r="D1908" t="str">
        <f>"5015"</f>
        <v>5015</v>
      </c>
      <c r="E1908" t="s">
        <v>818</v>
      </c>
    </row>
    <row r="1909" spans="1:5" x14ac:dyDescent="0.25">
      <c r="A1909" t="str">
        <f t="shared" si="93"/>
        <v>17410</v>
      </c>
      <c r="B1909" t="s">
        <v>2875</v>
      </c>
      <c r="C1909" t="s">
        <v>2877</v>
      </c>
      <c r="D1909" t="str">
        <f>"4397"</f>
        <v>4397</v>
      </c>
      <c r="E1909" t="s">
        <v>830</v>
      </c>
    </row>
    <row r="1910" spans="1:5" x14ac:dyDescent="0.25">
      <c r="A1910" t="str">
        <f t="shared" si="93"/>
        <v>17410</v>
      </c>
      <c r="B1910" t="s">
        <v>2875</v>
      </c>
      <c r="C1910" t="s">
        <v>2878</v>
      </c>
      <c r="D1910" t="str">
        <f>"4308"</f>
        <v>4308</v>
      </c>
      <c r="E1910" t="s">
        <v>818</v>
      </c>
    </row>
    <row r="1911" spans="1:5" x14ac:dyDescent="0.25">
      <c r="A1911" t="str">
        <f t="shared" si="93"/>
        <v>17410</v>
      </c>
      <c r="B1911" t="s">
        <v>2875</v>
      </c>
      <c r="C1911" t="s">
        <v>2879</v>
      </c>
      <c r="D1911" t="str">
        <f>"2222"</f>
        <v>2222</v>
      </c>
      <c r="E1911" t="s">
        <v>818</v>
      </c>
    </row>
    <row r="1912" spans="1:5" x14ac:dyDescent="0.25">
      <c r="A1912" t="str">
        <f t="shared" si="93"/>
        <v>17410</v>
      </c>
      <c r="B1912" t="s">
        <v>2875</v>
      </c>
      <c r="C1912" t="s">
        <v>2880</v>
      </c>
      <c r="D1912" t="str">
        <f>"2850"</f>
        <v>2850</v>
      </c>
      <c r="E1912" t="s">
        <v>824</v>
      </c>
    </row>
    <row r="1913" spans="1:5" x14ac:dyDescent="0.25">
      <c r="A1913" t="str">
        <f t="shared" si="93"/>
        <v>17410</v>
      </c>
      <c r="B1913" t="s">
        <v>2875</v>
      </c>
      <c r="C1913" t="s">
        <v>2881</v>
      </c>
      <c r="D1913" t="str">
        <f>"2287"</f>
        <v>2287</v>
      </c>
      <c r="E1913" t="s">
        <v>818</v>
      </c>
    </row>
    <row r="1914" spans="1:5" x14ac:dyDescent="0.25">
      <c r="A1914" t="str">
        <f t="shared" si="93"/>
        <v>17410</v>
      </c>
      <c r="B1914" t="s">
        <v>2875</v>
      </c>
      <c r="C1914" t="s">
        <v>2882</v>
      </c>
      <c r="D1914" t="str">
        <f>"5181"</f>
        <v>5181</v>
      </c>
      <c r="E1914" t="s">
        <v>851</v>
      </c>
    </row>
    <row r="1915" spans="1:5" x14ac:dyDescent="0.25">
      <c r="A1915" t="str">
        <f t="shared" si="93"/>
        <v>17410</v>
      </c>
      <c r="B1915" t="s">
        <v>2875</v>
      </c>
      <c r="C1915" t="s">
        <v>2883</v>
      </c>
      <c r="D1915" t="str">
        <f>"2288"</f>
        <v>2288</v>
      </c>
      <c r="E1915" t="s">
        <v>818</v>
      </c>
    </row>
    <row r="1916" spans="1:5" x14ac:dyDescent="0.25">
      <c r="A1916" t="str">
        <f t="shared" si="93"/>
        <v>17410</v>
      </c>
      <c r="B1916" t="s">
        <v>2875</v>
      </c>
      <c r="C1916" t="s">
        <v>2884</v>
      </c>
      <c r="D1916" t="str">
        <f>"5296"</f>
        <v>5296</v>
      </c>
      <c r="E1916" t="s">
        <v>821</v>
      </c>
    </row>
    <row r="1917" spans="1:5" x14ac:dyDescent="0.25">
      <c r="A1917" t="str">
        <f t="shared" si="93"/>
        <v>17410</v>
      </c>
      <c r="B1917" t="s">
        <v>2875</v>
      </c>
      <c r="C1917" t="s">
        <v>2885</v>
      </c>
      <c r="D1917" t="str">
        <f>"5374"</f>
        <v>5374</v>
      </c>
      <c r="E1917" t="s">
        <v>824</v>
      </c>
    </row>
    <row r="1918" spans="1:5" x14ac:dyDescent="0.25">
      <c r="A1918" t="str">
        <f t="shared" si="93"/>
        <v>17410</v>
      </c>
      <c r="B1918" t="s">
        <v>2875</v>
      </c>
      <c r="C1918" t="s">
        <v>2886</v>
      </c>
      <c r="D1918" t="str">
        <f>"5457"</f>
        <v>5457</v>
      </c>
      <c r="E1918" t="s">
        <v>818</v>
      </c>
    </row>
    <row r="1919" spans="1:5" x14ac:dyDescent="0.25">
      <c r="A1919" t="str">
        <f t="shared" si="93"/>
        <v>17410</v>
      </c>
      <c r="B1919" t="s">
        <v>2875</v>
      </c>
      <c r="C1919" t="s">
        <v>2887</v>
      </c>
      <c r="D1919" t="str">
        <f>"5135"</f>
        <v>5135</v>
      </c>
      <c r="E1919" t="s">
        <v>830</v>
      </c>
    </row>
    <row r="1920" spans="1:5" x14ac:dyDescent="0.25">
      <c r="A1920" t="str">
        <f t="shared" si="93"/>
        <v>17410</v>
      </c>
      <c r="B1920" t="s">
        <v>2875</v>
      </c>
      <c r="C1920" t="s">
        <v>2888</v>
      </c>
      <c r="D1920" t="str">
        <f>"1502"</f>
        <v>1502</v>
      </c>
      <c r="E1920" t="s">
        <v>821</v>
      </c>
    </row>
    <row r="1921" spans="1:5" x14ac:dyDescent="0.25">
      <c r="A1921" t="str">
        <f>"13156"</f>
        <v>13156</v>
      </c>
      <c r="B1921" t="s">
        <v>2889</v>
      </c>
      <c r="C1921" t="s">
        <v>2890</v>
      </c>
      <c r="D1921" t="str">
        <f>"1518"</f>
        <v>1518</v>
      </c>
      <c r="E1921" t="s">
        <v>824</v>
      </c>
    </row>
    <row r="1922" spans="1:5" x14ac:dyDescent="0.25">
      <c r="A1922" t="str">
        <f>"13156"</f>
        <v>13156</v>
      </c>
      <c r="B1922" t="s">
        <v>2889</v>
      </c>
      <c r="C1922" t="s">
        <v>2891</v>
      </c>
      <c r="D1922" t="str">
        <f>"2694"</f>
        <v>2694</v>
      </c>
      <c r="E1922" t="s">
        <v>818</v>
      </c>
    </row>
    <row r="1923" spans="1:5" x14ac:dyDescent="0.25">
      <c r="A1923" t="str">
        <f>"13156"</f>
        <v>13156</v>
      </c>
      <c r="B1923" t="s">
        <v>2889</v>
      </c>
      <c r="C1923" t="s">
        <v>2892</v>
      </c>
      <c r="D1923" t="str">
        <f>"3089"</f>
        <v>3089</v>
      </c>
      <c r="E1923" t="s">
        <v>821</v>
      </c>
    </row>
    <row r="1924" spans="1:5" x14ac:dyDescent="0.25">
      <c r="A1924" t="str">
        <f>"27909"</f>
        <v>27909</v>
      </c>
      <c r="B1924" t="s">
        <v>2893</v>
      </c>
      <c r="C1924" t="s">
        <v>2894</v>
      </c>
      <c r="D1924" t="str">
        <f>"5379"</f>
        <v>5379</v>
      </c>
      <c r="E1924" t="s">
        <v>821</v>
      </c>
    </row>
    <row r="1925" spans="1:5" x14ac:dyDescent="0.25">
      <c r="A1925" t="str">
        <f>"25118"</f>
        <v>25118</v>
      </c>
      <c r="B1925" t="s">
        <v>2895</v>
      </c>
      <c r="C1925" t="s">
        <v>2896</v>
      </c>
      <c r="D1925" t="str">
        <f>"2804"</f>
        <v>2804</v>
      </c>
      <c r="E1925" t="s">
        <v>818</v>
      </c>
    </row>
    <row r="1926" spans="1:5" x14ac:dyDescent="0.25">
      <c r="A1926" t="str">
        <f>"25118"</f>
        <v>25118</v>
      </c>
      <c r="B1926" t="s">
        <v>2895</v>
      </c>
      <c r="C1926" t="s">
        <v>2897</v>
      </c>
      <c r="D1926" t="str">
        <f>"5247"</f>
        <v>5247</v>
      </c>
      <c r="E1926" t="s">
        <v>824</v>
      </c>
    </row>
    <row r="1927" spans="1:5" x14ac:dyDescent="0.25">
      <c r="A1927" t="str">
        <f>"25118"</f>
        <v>25118</v>
      </c>
      <c r="B1927" t="s">
        <v>2895</v>
      </c>
      <c r="C1927" t="s">
        <v>2898</v>
      </c>
      <c r="D1927" t="str">
        <f>"5243"</f>
        <v>5243</v>
      </c>
      <c r="E1927" t="s">
        <v>859</v>
      </c>
    </row>
    <row r="1928" spans="1:5" x14ac:dyDescent="0.25">
      <c r="A1928" t="str">
        <f>"25118"</f>
        <v>25118</v>
      </c>
      <c r="B1928" t="s">
        <v>2895</v>
      </c>
      <c r="C1928" t="s">
        <v>2899</v>
      </c>
      <c r="D1928" t="str">
        <f>"2214"</f>
        <v>2214</v>
      </c>
      <c r="E1928" t="s">
        <v>821</v>
      </c>
    </row>
    <row r="1929" spans="1:5" x14ac:dyDescent="0.25">
      <c r="A1929" t="str">
        <f t="shared" ref="A1929:A1945" si="94">"18402"</f>
        <v>18402</v>
      </c>
      <c r="B1929" t="s">
        <v>2900</v>
      </c>
      <c r="C1929" t="s">
        <v>2901</v>
      </c>
      <c r="D1929" t="str">
        <f>"4029"</f>
        <v>4029</v>
      </c>
      <c r="E1929" t="s">
        <v>818</v>
      </c>
    </row>
    <row r="1930" spans="1:5" x14ac:dyDescent="0.25">
      <c r="A1930" t="str">
        <f t="shared" si="94"/>
        <v>18402</v>
      </c>
      <c r="B1930" t="s">
        <v>2900</v>
      </c>
      <c r="C1930" t="s">
        <v>1823</v>
      </c>
      <c r="D1930" t="str">
        <f>"3680"</f>
        <v>3680</v>
      </c>
      <c r="E1930" t="s">
        <v>830</v>
      </c>
    </row>
    <row r="1931" spans="1:5" x14ac:dyDescent="0.25">
      <c r="A1931" t="str">
        <f t="shared" si="94"/>
        <v>18402</v>
      </c>
      <c r="B1931" t="s">
        <v>2900</v>
      </c>
      <c r="C1931" t="s">
        <v>2902</v>
      </c>
      <c r="D1931" t="str">
        <f>"3899"</f>
        <v>3899</v>
      </c>
      <c r="E1931" t="s">
        <v>824</v>
      </c>
    </row>
    <row r="1932" spans="1:5" x14ac:dyDescent="0.25">
      <c r="A1932" t="str">
        <f t="shared" si="94"/>
        <v>18402</v>
      </c>
      <c r="B1932" t="s">
        <v>2900</v>
      </c>
      <c r="C1932" t="s">
        <v>2903</v>
      </c>
      <c r="D1932" t="str">
        <f>"2641"</f>
        <v>2641</v>
      </c>
      <c r="E1932" t="s">
        <v>818</v>
      </c>
    </row>
    <row r="1933" spans="1:5" x14ac:dyDescent="0.25">
      <c r="A1933" t="str">
        <f t="shared" si="94"/>
        <v>18402</v>
      </c>
      <c r="B1933" t="s">
        <v>2900</v>
      </c>
      <c r="C1933" t="s">
        <v>2904</v>
      </c>
      <c r="D1933" t="str">
        <f>"1718"</f>
        <v>1718</v>
      </c>
      <c r="E1933" t="s">
        <v>859</v>
      </c>
    </row>
    <row r="1934" spans="1:5" x14ac:dyDescent="0.25">
      <c r="A1934" t="str">
        <f t="shared" si="94"/>
        <v>18402</v>
      </c>
      <c r="B1934" t="s">
        <v>2900</v>
      </c>
      <c r="C1934" t="s">
        <v>2905</v>
      </c>
      <c r="D1934" t="str">
        <f>"4348"</f>
        <v>4348</v>
      </c>
      <c r="E1934" t="s">
        <v>818</v>
      </c>
    </row>
    <row r="1935" spans="1:5" x14ac:dyDescent="0.25">
      <c r="A1935" t="str">
        <f t="shared" si="94"/>
        <v>18402</v>
      </c>
      <c r="B1935" t="s">
        <v>2900</v>
      </c>
      <c r="C1935" t="s">
        <v>2906</v>
      </c>
      <c r="D1935" t="str">
        <f>"4142"</f>
        <v>4142</v>
      </c>
      <c r="E1935" t="s">
        <v>830</v>
      </c>
    </row>
    <row r="1936" spans="1:5" x14ac:dyDescent="0.25">
      <c r="A1936" t="str">
        <f t="shared" si="94"/>
        <v>18402</v>
      </c>
      <c r="B1936" t="s">
        <v>2900</v>
      </c>
      <c r="C1936" t="s">
        <v>2907</v>
      </c>
      <c r="D1936" t="str">
        <f>"5072"</f>
        <v>5072</v>
      </c>
      <c r="E1936" t="s">
        <v>826</v>
      </c>
    </row>
    <row r="1937" spans="1:5" x14ac:dyDescent="0.25">
      <c r="A1937" t="str">
        <f t="shared" si="94"/>
        <v>18402</v>
      </c>
      <c r="B1937" t="s">
        <v>2900</v>
      </c>
      <c r="C1937" t="s">
        <v>2908</v>
      </c>
      <c r="D1937" t="str">
        <f>"4079"</f>
        <v>4079</v>
      </c>
      <c r="E1937" t="s">
        <v>818</v>
      </c>
    </row>
    <row r="1938" spans="1:5" x14ac:dyDescent="0.25">
      <c r="A1938" t="str">
        <f t="shared" si="94"/>
        <v>18402</v>
      </c>
      <c r="B1938" t="s">
        <v>2900</v>
      </c>
      <c r="C1938" t="s">
        <v>2909</v>
      </c>
      <c r="D1938" t="str">
        <f>"3046"</f>
        <v>3046</v>
      </c>
      <c r="E1938" t="s">
        <v>830</v>
      </c>
    </row>
    <row r="1939" spans="1:5" x14ac:dyDescent="0.25">
      <c r="A1939" t="str">
        <f t="shared" si="94"/>
        <v>18402</v>
      </c>
      <c r="B1939" t="s">
        <v>2900</v>
      </c>
      <c r="C1939" t="s">
        <v>2910</v>
      </c>
      <c r="D1939" t="str">
        <f>"4350"</f>
        <v>4350</v>
      </c>
      <c r="E1939" t="s">
        <v>818</v>
      </c>
    </row>
    <row r="1940" spans="1:5" x14ac:dyDescent="0.25">
      <c r="A1940" t="str">
        <f t="shared" si="94"/>
        <v>18402</v>
      </c>
      <c r="B1940" t="s">
        <v>2900</v>
      </c>
      <c r="C1940" t="s">
        <v>2911</v>
      </c>
      <c r="D1940" t="str">
        <f>"2995"</f>
        <v>2995</v>
      </c>
      <c r="E1940" t="s">
        <v>818</v>
      </c>
    </row>
    <row r="1941" spans="1:5" x14ac:dyDescent="0.25">
      <c r="A1941" t="str">
        <f t="shared" si="94"/>
        <v>18402</v>
      </c>
      <c r="B1941" t="s">
        <v>2900</v>
      </c>
      <c r="C1941" t="s">
        <v>2912</v>
      </c>
      <c r="D1941" t="str">
        <f>"2650"</f>
        <v>2650</v>
      </c>
      <c r="E1941" t="s">
        <v>818</v>
      </c>
    </row>
    <row r="1942" spans="1:5" x14ac:dyDescent="0.25">
      <c r="A1942" t="str">
        <f t="shared" si="94"/>
        <v>18402</v>
      </c>
      <c r="B1942" t="s">
        <v>2900</v>
      </c>
      <c r="C1942" t="s">
        <v>2913</v>
      </c>
      <c r="D1942" t="str">
        <f>"4349"</f>
        <v>4349</v>
      </c>
      <c r="E1942" t="s">
        <v>818</v>
      </c>
    </row>
    <row r="1943" spans="1:5" x14ac:dyDescent="0.25">
      <c r="A1943" t="str">
        <f t="shared" si="94"/>
        <v>18402</v>
      </c>
      <c r="B1943" t="s">
        <v>2900</v>
      </c>
      <c r="C1943" t="s">
        <v>2914</v>
      </c>
      <c r="D1943" t="str">
        <f>"3110"</f>
        <v>3110</v>
      </c>
      <c r="E1943" t="s">
        <v>818</v>
      </c>
    </row>
    <row r="1944" spans="1:5" x14ac:dyDescent="0.25">
      <c r="A1944" t="str">
        <f t="shared" si="94"/>
        <v>18402</v>
      </c>
      <c r="B1944" t="s">
        <v>2900</v>
      </c>
      <c r="C1944" t="s">
        <v>2915</v>
      </c>
      <c r="D1944" t="str">
        <f>"2272"</f>
        <v>2272</v>
      </c>
      <c r="E1944" t="s">
        <v>824</v>
      </c>
    </row>
    <row r="1945" spans="1:5" x14ac:dyDescent="0.25">
      <c r="A1945" t="str">
        <f t="shared" si="94"/>
        <v>18402</v>
      </c>
      <c r="B1945" t="s">
        <v>2900</v>
      </c>
      <c r="C1945" t="s">
        <v>2916</v>
      </c>
      <c r="D1945" t="str">
        <f>"4141"</f>
        <v>4141</v>
      </c>
      <c r="E1945" t="s">
        <v>818</v>
      </c>
    </row>
    <row r="1946" spans="1:5" x14ac:dyDescent="0.25">
      <c r="A1946" t="str">
        <f>"15206"</f>
        <v>15206</v>
      </c>
      <c r="B1946" t="s">
        <v>2917</v>
      </c>
      <c r="C1946" t="s">
        <v>2918</v>
      </c>
      <c r="D1946" t="str">
        <f>"1682"</f>
        <v>1682</v>
      </c>
      <c r="E1946" t="s">
        <v>824</v>
      </c>
    </row>
    <row r="1947" spans="1:5" x14ac:dyDescent="0.25">
      <c r="A1947" t="str">
        <f>"15206"</f>
        <v>15206</v>
      </c>
      <c r="B1947" t="s">
        <v>2917</v>
      </c>
      <c r="C1947" t="s">
        <v>2919</v>
      </c>
      <c r="D1947" t="str">
        <f>"4321"</f>
        <v>4321</v>
      </c>
      <c r="E1947" t="s">
        <v>818</v>
      </c>
    </row>
    <row r="1948" spans="1:5" x14ac:dyDescent="0.25">
      <c r="A1948" t="str">
        <f>"15206"</f>
        <v>15206</v>
      </c>
      <c r="B1948" t="s">
        <v>2917</v>
      </c>
      <c r="C1948" t="s">
        <v>2920</v>
      </c>
      <c r="D1948" t="str">
        <f>"4149"</f>
        <v>4149</v>
      </c>
      <c r="E1948" t="s">
        <v>824</v>
      </c>
    </row>
    <row r="1949" spans="1:5" x14ac:dyDescent="0.25">
      <c r="A1949" t="str">
        <f>"15206"</f>
        <v>15206</v>
      </c>
      <c r="B1949" t="s">
        <v>2917</v>
      </c>
      <c r="C1949" t="s">
        <v>2921</v>
      </c>
      <c r="D1949" t="str">
        <f>"2511"</f>
        <v>2511</v>
      </c>
      <c r="E1949" t="s">
        <v>830</v>
      </c>
    </row>
    <row r="1950" spans="1:5" x14ac:dyDescent="0.25">
      <c r="A1950" t="str">
        <f>"15206"</f>
        <v>15206</v>
      </c>
      <c r="B1950" t="s">
        <v>2917</v>
      </c>
      <c r="C1950" t="s">
        <v>2922</v>
      </c>
      <c r="D1950" t="str">
        <f>"1683"</f>
        <v>1683</v>
      </c>
      <c r="E1950" t="s">
        <v>818</v>
      </c>
    </row>
    <row r="1951" spans="1:5" x14ac:dyDescent="0.25">
      <c r="A1951" t="str">
        <f>"23042"</f>
        <v>23042</v>
      </c>
      <c r="B1951" t="s">
        <v>2923</v>
      </c>
      <c r="C1951" t="s">
        <v>2924</v>
      </c>
      <c r="D1951" t="str">
        <f>"2744"</f>
        <v>2744</v>
      </c>
      <c r="E1951" t="s">
        <v>821</v>
      </c>
    </row>
    <row r="1952" spans="1:5" x14ac:dyDescent="0.25">
      <c r="A1952" t="str">
        <f>"32901"</f>
        <v>32901</v>
      </c>
      <c r="B1952" t="s">
        <v>2925</v>
      </c>
      <c r="C1952" t="s">
        <v>2925</v>
      </c>
      <c r="D1952" t="str">
        <f>"5381"</f>
        <v>5381</v>
      </c>
      <c r="E1952" t="s">
        <v>818</v>
      </c>
    </row>
    <row r="1953" spans="1:5" x14ac:dyDescent="0.25">
      <c r="A1953" t="str">
        <f t="shared" ref="A1953:A1984" si="95">"32081"</f>
        <v>32081</v>
      </c>
      <c r="B1953" t="s">
        <v>2926</v>
      </c>
      <c r="C1953" t="s">
        <v>2927</v>
      </c>
      <c r="D1953" t="str">
        <f>"1533"</f>
        <v>1533</v>
      </c>
      <c r="E1953" t="s">
        <v>824</v>
      </c>
    </row>
    <row r="1954" spans="1:5" x14ac:dyDescent="0.25">
      <c r="A1954" t="str">
        <f t="shared" si="95"/>
        <v>32081</v>
      </c>
      <c r="B1954" t="s">
        <v>2926</v>
      </c>
      <c r="C1954" t="s">
        <v>1129</v>
      </c>
      <c r="D1954" t="str">
        <f>"2156"</f>
        <v>2156</v>
      </c>
      <c r="E1954" t="s">
        <v>818</v>
      </c>
    </row>
    <row r="1955" spans="1:5" x14ac:dyDescent="0.25">
      <c r="A1955" t="str">
        <f t="shared" si="95"/>
        <v>32081</v>
      </c>
      <c r="B1955" t="s">
        <v>2926</v>
      </c>
      <c r="C1955" t="s">
        <v>2928</v>
      </c>
      <c r="D1955" t="str">
        <f>"1566"</f>
        <v>1566</v>
      </c>
      <c r="E1955" t="s">
        <v>826</v>
      </c>
    </row>
    <row r="1956" spans="1:5" x14ac:dyDescent="0.25">
      <c r="A1956" t="str">
        <f t="shared" si="95"/>
        <v>32081</v>
      </c>
      <c r="B1956" t="s">
        <v>2926</v>
      </c>
      <c r="C1956" t="s">
        <v>2929</v>
      </c>
      <c r="D1956" t="str">
        <f>"1604"</f>
        <v>1604</v>
      </c>
      <c r="E1956" t="s">
        <v>821</v>
      </c>
    </row>
    <row r="1957" spans="1:5" x14ac:dyDescent="0.25">
      <c r="A1957" t="str">
        <f t="shared" si="95"/>
        <v>32081</v>
      </c>
      <c r="B1957" t="s">
        <v>2926</v>
      </c>
      <c r="C1957" t="s">
        <v>2930</v>
      </c>
      <c r="D1957" t="str">
        <f>"2381"</f>
        <v>2381</v>
      </c>
      <c r="E1957" t="s">
        <v>818</v>
      </c>
    </row>
    <row r="1958" spans="1:5" x14ac:dyDescent="0.25">
      <c r="A1958" t="str">
        <f t="shared" si="95"/>
        <v>32081</v>
      </c>
      <c r="B1958" t="s">
        <v>2926</v>
      </c>
      <c r="C1958" t="s">
        <v>1920</v>
      </c>
      <c r="D1958" t="str">
        <f>"2128"</f>
        <v>2128</v>
      </c>
      <c r="E1958" t="s">
        <v>818</v>
      </c>
    </row>
    <row r="1959" spans="1:5" x14ac:dyDescent="0.25">
      <c r="A1959" t="str">
        <f t="shared" si="95"/>
        <v>32081</v>
      </c>
      <c r="B1959" t="s">
        <v>2926</v>
      </c>
      <c r="C1959" t="s">
        <v>2931</v>
      </c>
      <c r="D1959" t="str">
        <f>"3357"</f>
        <v>3357</v>
      </c>
      <c r="E1959" t="s">
        <v>818</v>
      </c>
    </row>
    <row r="1960" spans="1:5" x14ac:dyDescent="0.25">
      <c r="A1960" t="str">
        <f t="shared" si="95"/>
        <v>32081</v>
      </c>
      <c r="B1960" t="s">
        <v>2926</v>
      </c>
      <c r="C1960" t="s">
        <v>2932</v>
      </c>
      <c r="D1960" t="str">
        <f>"2155"</f>
        <v>2155</v>
      </c>
      <c r="E1960" t="s">
        <v>818</v>
      </c>
    </row>
    <row r="1961" spans="1:5" x14ac:dyDescent="0.25">
      <c r="A1961" t="str">
        <f t="shared" si="95"/>
        <v>32081</v>
      </c>
      <c r="B1961" t="s">
        <v>2926</v>
      </c>
      <c r="C1961" t="s">
        <v>2933</v>
      </c>
      <c r="D1961" t="str">
        <f>"2218"</f>
        <v>2218</v>
      </c>
      <c r="E1961" t="s">
        <v>818</v>
      </c>
    </row>
    <row r="1962" spans="1:5" x14ac:dyDescent="0.25">
      <c r="A1962" t="str">
        <f t="shared" si="95"/>
        <v>32081</v>
      </c>
      <c r="B1962" t="s">
        <v>2926</v>
      </c>
      <c r="C1962" t="s">
        <v>2934</v>
      </c>
      <c r="D1962" t="str">
        <f>"3008"</f>
        <v>3008</v>
      </c>
      <c r="E1962" t="s">
        <v>851</v>
      </c>
    </row>
    <row r="1963" spans="1:5" x14ac:dyDescent="0.25">
      <c r="A1963" t="str">
        <f t="shared" si="95"/>
        <v>32081</v>
      </c>
      <c r="B1963" t="s">
        <v>2926</v>
      </c>
      <c r="C1963" t="s">
        <v>2935</v>
      </c>
      <c r="D1963" t="str">
        <f>"4457"</f>
        <v>4457</v>
      </c>
      <c r="E1963" t="s">
        <v>830</v>
      </c>
    </row>
    <row r="1964" spans="1:5" x14ac:dyDescent="0.25">
      <c r="A1964" t="str">
        <f t="shared" si="95"/>
        <v>32081</v>
      </c>
      <c r="B1964" t="s">
        <v>2926</v>
      </c>
      <c r="C1964" t="s">
        <v>2936</v>
      </c>
      <c r="D1964" t="str">
        <f>"2129"</f>
        <v>2129</v>
      </c>
      <c r="E1964" t="s">
        <v>818</v>
      </c>
    </row>
    <row r="1965" spans="1:5" x14ac:dyDescent="0.25">
      <c r="A1965" t="str">
        <f t="shared" si="95"/>
        <v>32081</v>
      </c>
      <c r="B1965" t="s">
        <v>2926</v>
      </c>
      <c r="C1965" t="s">
        <v>2937</v>
      </c>
      <c r="D1965" t="str">
        <f>"1603"</f>
        <v>1603</v>
      </c>
      <c r="E1965" t="s">
        <v>824</v>
      </c>
    </row>
    <row r="1966" spans="1:5" x14ac:dyDescent="0.25">
      <c r="A1966" t="str">
        <f t="shared" si="95"/>
        <v>32081</v>
      </c>
      <c r="B1966" t="s">
        <v>2926</v>
      </c>
      <c r="C1966" t="s">
        <v>2938</v>
      </c>
      <c r="D1966" t="str">
        <f>"1567"</f>
        <v>1567</v>
      </c>
      <c r="E1966" t="s">
        <v>821</v>
      </c>
    </row>
    <row r="1967" spans="1:5" x14ac:dyDescent="0.25">
      <c r="A1967" t="str">
        <f t="shared" si="95"/>
        <v>32081</v>
      </c>
      <c r="B1967" t="s">
        <v>2926</v>
      </c>
      <c r="C1967" t="s">
        <v>2939</v>
      </c>
      <c r="D1967" t="str">
        <f>"3819"</f>
        <v>3819</v>
      </c>
      <c r="E1967" t="s">
        <v>821</v>
      </c>
    </row>
    <row r="1968" spans="1:5" x14ac:dyDescent="0.25">
      <c r="A1968" t="str">
        <f t="shared" si="95"/>
        <v>32081</v>
      </c>
      <c r="B1968" t="s">
        <v>2926</v>
      </c>
      <c r="C1968" t="s">
        <v>2940</v>
      </c>
      <c r="D1968" t="str">
        <f>"3412"</f>
        <v>3412</v>
      </c>
      <c r="E1968" t="s">
        <v>824</v>
      </c>
    </row>
    <row r="1969" spans="1:5" x14ac:dyDescent="0.25">
      <c r="A1969" t="str">
        <f t="shared" si="95"/>
        <v>32081</v>
      </c>
      <c r="B1969" t="s">
        <v>2926</v>
      </c>
      <c r="C1969" t="s">
        <v>2941</v>
      </c>
      <c r="D1969" t="str">
        <f>"2312"</f>
        <v>2312</v>
      </c>
      <c r="E1969" t="s">
        <v>818</v>
      </c>
    </row>
    <row r="1970" spans="1:5" x14ac:dyDescent="0.25">
      <c r="A1970" t="str">
        <f t="shared" si="95"/>
        <v>32081</v>
      </c>
      <c r="B1970" t="s">
        <v>2926</v>
      </c>
      <c r="C1970" t="s">
        <v>1937</v>
      </c>
      <c r="D1970" t="str">
        <f>"2127"</f>
        <v>2127</v>
      </c>
      <c r="E1970" t="s">
        <v>818</v>
      </c>
    </row>
    <row r="1971" spans="1:5" x14ac:dyDescent="0.25">
      <c r="A1971" t="str">
        <f t="shared" si="95"/>
        <v>32081</v>
      </c>
      <c r="B1971" t="s">
        <v>2926</v>
      </c>
      <c r="C1971" t="s">
        <v>1631</v>
      </c>
      <c r="D1971" t="str">
        <f>"3727"</f>
        <v>3727</v>
      </c>
      <c r="E1971" t="s">
        <v>818</v>
      </c>
    </row>
    <row r="1972" spans="1:5" x14ac:dyDescent="0.25">
      <c r="A1972" t="str">
        <f t="shared" si="95"/>
        <v>32081</v>
      </c>
      <c r="B1972" t="s">
        <v>2926</v>
      </c>
      <c r="C1972" t="s">
        <v>2942</v>
      </c>
      <c r="D1972" t="str">
        <f>"3758"</f>
        <v>3758</v>
      </c>
      <c r="E1972" t="s">
        <v>830</v>
      </c>
    </row>
    <row r="1973" spans="1:5" x14ac:dyDescent="0.25">
      <c r="A1973" t="str">
        <f t="shared" si="95"/>
        <v>32081</v>
      </c>
      <c r="B1973" t="s">
        <v>2926</v>
      </c>
      <c r="C1973" t="s">
        <v>2943</v>
      </c>
      <c r="D1973" t="str">
        <f>"3258"</f>
        <v>3258</v>
      </c>
      <c r="E1973" t="s">
        <v>830</v>
      </c>
    </row>
    <row r="1974" spans="1:5" x14ac:dyDescent="0.25">
      <c r="A1974" t="str">
        <f t="shared" si="95"/>
        <v>32081</v>
      </c>
      <c r="B1974" t="s">
        <v>2926</v>
      </c>
      <c r="C1974" t="s">
        <v>1464</v>
      </c>
      <c r="D1974" t="str">
        <f>"3729"</f>
        <v>3729</v>
      </c>
      <c r="E1974" t="s">
        <v>818</v>
      </c>
    </row>
    <row r="1975" spans="1:5" x14ac:dyDescent="0.25">
      <c r="A1975" t="str">
        <f t="shared" si="95"/>
        <v>32081</v>
      </c>
      <c r="B1975" t="s">
        <v>2926</v>
      </c>
      <c r="C1975" t="s">
        <v>2944</v>
      </c>
      <c r="D1975" t="str">
        <f>"3007"</f>
        <v>3007</v>
      </c>
      <c r="E1975" t="s">
        <v>818</v>
      </c>
    </row>
    <row r="1976" spans="1:5" x14ac:dyDescent="0.25">
      <c r="A1976" t="str">
        <f t="shared" si="95"/>
        <v>32081</v>
      </c>
      <c r="B1976" t="s">
        <v>2926</v>
      </c>
      <c r="C1976" t="s">
        <v>2945</v>
      </c>
      <c r="D1976" t="str">
        <f>"2056"</f>
        <v>2056</v>
      </c>
      <c r="E1976" t="s">
        <v>818</v>
      </c>
    </row>
    <row r="1977" spans="1:5" x14ac:dyDescent="0.25">
      <c r="A1977" t="str">
        <f t="shared" si="95"/>
        <v>32081</v>
      </c>
      <c r="B1977" t="s">
        <v>2926</v>
      </c>
      <c r="C1977" t="s">
        <v>2946</v>
      </c>
      <c r="D1977" t="str">
        <f>"2258"</f>
        <v>2258</v>
      </c>
      <c r="E1977" t="s">
        <v>818</v>
      </c>
    </row>
    <row r="1978" spans="1:5" x14ac:dyDescent="0.25">
      <c r="A1978" t="str">
        <f t="shared" si="95"/>
        <v>32081</v>
      </c>
      <c r="B1978" t="s">
        <v>2926</v>
      </c>
      <c r="C1978" t="s">
        <v>2947</v>
      </c>
      <c r="D1978" t="str">
        <f>"3506"</f>
        <v>3506</v>
      </c>
      <c r="E1978" t="s">
        <v>818</v>
      </c>
    </row>
    <row r="1979" spans="1:5" x14ac:dyDescent="0.25">
      <c r="A1979" t="str">
        <f t="shared" si="95"/>
        <v>32081</v>
      </c>
      <c r="B1979" t="s">
        <v>2926</v>
      </c>
      <c r="C1979" t="s">
        <v>1484</v>
      </c>
      <c r="D1979" t="str">
        <f>"2111"</f>
        <v>2111</v>
      </c>
      <c r="E1979" t="s">
        <v>818</v>
      </c>
    </row>
    <row r="1980" spans="1:5" x14ac:dyDescent="0.25">
      <c r="A1980" t="str">
        <f t="shared" si="95"/>
        <v>32081</v>
      </c>
      <c r="B1980" t="s">
        <v>2926</v>
      </c>
      <c r="C1980" t="s">
        <v>2948</v>
      </c>
      <c r="D1980" t="str">
        <f>"2172"</f>
        <v>2172</v>
      </c>
      <c r="E1980" t="s">
        <v>824</v>
      </c>
    </row>
    <row r="1981" spans="1:5" x14ac:dyDescent="0.25">
      <c r="A1981" t="str">
        <f t="shared" si="95"/>
        <v>32081</v>
      </c>
      <c r="B1981" t="s">
        <v>2926</v>
      </c>
      <c r="C1981" t="s">
        <v>2949</v>
      </c>
      <c r="D1981" t="str">
        <f>"2401"</f>
        <v>2401</v>
      </c>
      <c r="E1981" t="s">
        <v>830</v>
      </c>
    </row>
    <row r="1982" spans="1:5" x14ac:dyDescent="0.25">
      <c r="A1982" t="str">
        <f t="shared" si="95"/>
        <v>32081</v>
      </c>
      <c r="B1982" t="s">
        <v>2926</v>
      </c>
      <c r="C1982" t="s">
        <v>2950</v>
      </c>
      <c r="D1982" t="str">
        <f>"2952"</f>
        <v>2952</v>
      </c>
      <c r="E1982" t="s">
        <v>818</v>
      </c>
    </row>
    <row r="1983" spans="1:5" x14ac:dyDescent="0.25">
      <c r="A1983" t="str">
        <f t="shared" si="95"/>
        <v>32081</v>
      </c>
      <c r="B1983" t="s">
        <v>2926</v>
      </c>
      <c r="C1983" t="s">
        <v>2951</v>
      </c>
      <c r="D1983" t="str">
        <f>"2951"</f>
        <v>2951</v>
      </c>
      <c r="E1983" t="s">
        <v>818</v>
      </c>
    </row>
    <row r="1984" spans="1:5" x14ac:dyDescent="0.25">
      <c r="A1984" t="str">
        <f t="shared" si="95"/>
        <v>32081</v>
      </c>
      <c r="B1984" t="s">
        <v>2926</v>
      </c>
      <c r="C1984" t="s">
        <v>2952</v>
      </c>
      <c r="D1984" t="str">
        <f>"3190"</f>
        <v>3190</v>
      </c>
      <c r="E1984" t="s">
        <v>818</v>
      </c>
    </row>
    <row r="1985" spans="1:5" x14ac:dyDescent="0.25">
      <c r="A1985" t="str">
        <f t="shared" ref="A1985:A2016" si="96">"32081"</f>
        <v>32081</v>
      </c>
      <c r="B1985" t="s">
        <v>2926</v>
      </c>
      <c r="C1985" t="s">
        <v>2953</v>
      </c>
      <c r="D1985" t="str">
        <f>"3719"</f>
        <v>3719</v>
      </c>
      <c r="E1985" t="s">
        <v>818</v>
      </c>
    </row>
    <row r="1986" spans="1:5" x14ac:dyDescent="0.25">
      <c r="A1986" t="str">
        <f t="shared" si="96"/>
        <v>32081</v>
      </c>
      <c r="B1986" t="s">
        <v>2926</v>
      </c>
      <c r="C1986" t="s">
        <v>2458</v>
      </c>
      <c r="D1986" t="str">
        <f>"3718"</f>
        <v>3718</v>
      </c>
      <c r="E1986" t="s">
        <v>818</v>
      </c>
    </row>
    <row r="1987" spans="1:5" x14ac:dyDescent="0.25">
      <c r="A1987" t="str">
        <f t="shared" si="96"/>
        <v>32081</v>
      </c>
      <c r="B1987" t="s">
        <v>2926</v>
      </c>
      <c r="C1987" t="s">
        <v>1486</v>
      </c>
      <c r="D1987" t="str">
        <f>"2708"</f>
        <v>2708</v>
      </c>
      <c r="E1987" t="s">
        <v>818</v>
      </c>
    </row>
    <row r="1988" spans="1:5" x14ac:dyDescent="0.25">
      <c r="A1988" t="str">
        <f t="shared" si="96"/>
        <v>32081</v>
      </c>
      <c r="B1988" t="s">
        <v>2926</v>
      </c>
      <c r="C1988" t="s">
        <v>2954</v>
      </c>
      <c r="D1988" t="str">
        <f>"4389"</f>
        <v>4389</v>
      </c>
      <c r="E1988" t="s">
        <v>818</v>
      </c>
    </row>
    <row r="1989" spans="1:5" x14ac:dyDescent="0.25">
      <c r="A1989" t="str">
        <f t="shared" si="96"/>
        <v>32081</v>
      </c>
      <c r="B1989" t="s">
        <v>2926</v>
      </c>
      <c r="C1989" t="s">
        <v>2955</v>
      </c>
      <c r="D1989" t="str">
        <f>"4035"</f>
        <v>4035</v>
      </c>
      <c r="E1989" t="s">
        <v>818</v>
      </c>
    </row>
    <row r="1990" spans="1:5" x14ac:dyDescent="0.25">
      <c r="A1990" t="str">
        <f t="shared" si="96"/>
        <v>32081</v>
      </c>
      <c r="B1990" t="s">
        <v>2926</v>
      </c>
      <c r="C1990" t="s">
        <v>2956</v>
      </c>
      <c r="D1990" t="str">
        <f>"2106"</f>
        <v>2106</v>
      </c>
      <c r="E1990" t="s">
        <v>821</v>
      </c>
    </row>
    <row r="1991" spans="1:5" x14ac:dyDescent="0.25">
      <c r="A1991" t="str">
        <f t="shared" si="96"/>
        <v>32081</v>
      </c>
      <c r="B1991" t="s">
        <v>2926</v>
      </c>
      <c r="C1991" t="s">
        <v>2957</v>
      </c>
      <c r="D1991" t="str">
        <f>"5250"</f>
        <v>5250</v>
      </c>
      <c r="E1991" t="s">
        <v>824</v>
      </c>
    </row>
    <row r="1992" spans="1:5" x14ac:dyDescent="0.25">
      <c r="A1992" t="str">
        <f t="shared" si="96"/>
        <v>32081</v>
      </c>
      <c r="B1992" t="s">
        <v>2926</v>
      </c>
      <c r="C1992" t="s">
        <v>2958</v>
      </c>
      <c r="D1992" t="str">
        <f>"5344"</f>
        <v>5344</v>
      </c>
      <c r="E1992" t="s">
        <v>824</v>
      </c>
    </row>
    <row r="1993" spans="1:5" x14ac:dyDescent="0.25">
      <c r="A1993" t="str">
        <f t="shared" si="96"/>
        <v>32081</v>
      </c>
      <c r="B1993" t="s">
        <v>2926</v>
      </c>
      <c r="C1993" t="s">
        <v>2959</v>
      </c>
      <c r="D1993" t="str">
        <f>"2096"</f>
        <v>2096</v>
      </c>
      <c r="E1993" t="s">
        <v>818</v>
      </c>
    </row>
    <row r="1994" spans="1:5" x14ac:dyDescent="0.25">
      <c r="A1994" t="str">
        <f t="shared" si="96"/>
        <v>32081</v>
      </c>
      <c r="B1994" t="s">
        <v>2926</v>
      </c>
      <c r="C1994" t="s">
        <v>2960</v>
      </c>
      <c r="D1994" t="str">
        <f>"2950"</f>
        <v>2950</v>
      </c>
      <c r="E1994" t="s">
        <v>818</v>
      </c>
    </row>
    <row r="1995" spans="1:5" x14ac:dyDescent="0.25">
      <c r="A1995" t="str">
        <f t="shared" si="96"/>
        <v>32081</v>
      </c>
      <c r="B1995" t="s">
        <v>2926</v>
      </c>
      <c r="C1995" t="s">
        <v>2552</v>
      </c>
      <c r="D1995" t="str">
        <f>"2479"</f>
        <v>2479</v>
      </c>
      <c r="E1995" t="s">
        <v>824</v>
      </c>
    </row>
    <row r="1996" spans="1:5" x14ac:dyDescent="0.25">
      <c r="A1996" t="str">
        <f t="shared" si="96"/>
        <v>32081</v>
      </c>
      <c r="B1996" t="s">
        <v>2926</v>
      </c>
      <c r="C1996" t="s">
        <v>1656</v>
      </c>
      <c r="D1996" t="str">
        <f>"2086"</f>
        <v>2086</v>
      </c>
      <c r="E1996" t="s">
        <v>818</v>
      </c>
    </row>
    <row r="1997" spans="1:5" x14ac:dyDescent="0.25">
      <c r="A1997" t="str">
        <f t="shared" si="96"/>
        <v>32081</v>
      </c>
      <c r="B1997" t="s">
        <v>2926</v>
      </c>
      <c r="C1997" t="s">
        <v>1571</v>
      </c>
      <c r="D1997" t="str">
        <f>"3356"</f>
        <v>3356</v>
      </c>
      <c r="E1997" t="s">
        <v>830</v>
      </c>
    </row>
    <row r="1998" spans="1:5" x14ac:dyDescent="0.25">
      <c r="A1998" t="str">
        <f t="shared" si="96"/>
        <v>32081</v>
      </c>
      <c r="B1998" t="s">
        <v>2926</v>
      </c>
      <c r="C1998" t="s">
        <v>2961</v>
      </c>
      <c r="D1998" t="str">
        <f>"4286"</f>
        <v>4286</v>
      </c>
      <c r="E1998" t="s">
        <v>851</v>
      </c>
    </row>
    <row r="1999" spans="1:5" x14ac:dyDescent="0.25">
      <c r="A1999" t="str">
        <f t="shared" si="96"/>
        <v>32081</v>
      </c>
      <c r="B1999" t="s">
        <v>2926</v>
      </c>
      <c r="C1999" t="s">
        <v>2962</v>
      </c>
      <c r="D1999" t="str">
        <f>"3413"</f>
        <v>3413</v>
      </c>
      <c r="E1999" t="s">
        <v>830</v>
      </c>
    </row>
    <row r="2000" spans="1:5" x14ac:dyDescent="0.25">
      <c r="A2000" t="str">
        <f t="shared" si="96"/>
        <v>32081</v>
      </c>
      <c r="B2000" t="s">
        <v>2926</v>
      </c>
      <c r="C2000" t="s">
        <v>2963</v>
      </c>
      <c r="D2000" t="str">
        <f>"1698"</f>
        <v>1698</v>
      </c>
      <c r="E2000" t="s">
        <v>824</v>
      </c>
    </row>
    <row r="2001" spans="1:5" x14ac:dyDescent="0.25">
      <c r="A2001" t="str">
        <f t="shared" si="96"/>
        <v>32081</v>
      </c>
      <c r="B2001" t="s">
        <v>2926</v>
      </c>
      <c r="C2001" t="s">
        <v>2964</v>
      </c>
      <c r="D2001" t="str">
        <f>"3189"</f>
        <v>3189</v>
      </c>
      <c r="E2001" t="s">
        <v>824</v>
      </c>
    </row>
    <row r="2002" spans="1:5" x14ac:dyDescent="0.25">
      <c r="A2002" t="str">
        <f t="shared" si="96"/>
        <v>32081</v>
      </c>
      <c r="B2002" t="s">
        <v>2926</v>
      </c>
      <c r="C2002" t="s">
        <v>2965</v>
      </c>
      <c r="D2002" t="str">
        <f>"3257"</f>
        <v>3257</v>
      </c>
      <c r="E2002" t="s">
        <v>830</v>
      </c>
    </row>
    <row r="2003" spans="1:5" x14ac:dyDescent="0.25">
      <c r="A2003" t="str">
        <f t="shared" si="96"/>
        <v>32081</v>
      </c>
      <c r="B2003" t="s">
        <v>2926</v>
      </c>
      <c r="C2003" t="s">
        <v>2966</v>
      </c>
      <c r="D2003" t="str">
        <f>"2110"</f>
        <v>2110</v>
      </c>
      <c r="E2003" t="s">
        <v>818</v>
      </c>
    </row>
    <row r="2004" spans="1:5" x14ac:dyDescent="0.25">
      <c r="A2004" t="str">
        <f t="shared" si="96"/>
        <v>32081</v>
      </c>
      <c r="B2004" t="s">
        <v>2926</v>
      </c>
      <c r="C2004" t="s">
        <v>2967</v>
      </c>
      <c r="D2004" t="str">
        <f>"2045"</f>
        <v>2045</v>
      </c>
      <c r="E2004" t="s">
        <v>851</v>
      </c>
    </row>
    <row r="2005" spans="1:5" x14ac:dyDescent="0.25">
      <c r="A2005" t="str">
        <f t="shared" si="96"/>
        <v>32081</v>
      </c>
      <c r="B2005" t="s">
        <v>2926</v>
      </c>
      <c r="C2005" t="s">
        <v>2968</v>
      </c>
      <c r="D2005" t="str">
        <f>"4191"</f>
        <v>4191</v>
      </c>
      <c r="E2005" t="s">
        <v>824</v>
      </c>
    </row>
    <row r="2006" spans="1:5" x14ac:dyDescent="0.25">
      <c r="A2006" t="str">
        <f t="shared" si="96"/>
        <v>32081</v>
      </c>
      <c r="B2006" t="s">
        <v>2926</v>
      </c>
      <c r="C2006" t="s">
        <v>2969</v>
      </c>
      <c r="D2006" t="str">
        <f>"5249"</f>
        <v>5249</v>
      </c>
      <c r="E2006" t="s">
        <v>824</v>
      </c>
    </row>
    <row r="2007" spans="1:5" x14ac:dyDescent="0.25">
      <c r="A2007" t="str">
        <f t="shared" si="96"/>
        <v>32081</v>
      </c>
      <c r="B2007" t="s">
        <v>2926</v>
      </c>
      <c r="C2007" t="s">
        <v>2970</v>
      </c>
      <c r="D2007" t="str">
        <f>"5361"</f>
        <v>5361</v>
      </c>
      <c r="E2007" t="s">
        <v>821</v>
      </c>
    </row>
    <row r="2008" spans="1:5" x14ac:dyDescent="0.25">
      <c r="A2008" t="str">
        <f t="shared" si="96"/>
        <v>32081</v>
      </c>
      <c r="B2008" t="s">
        <v>2926</v>
      </c>
      <c r="C2008" t="s">
        <v>2971</v>
      </c>
      <c r="D2008" t="str">
        <f>"5113"</f>
        <v>5113</v>
      </c>
      <c r="E2008" t="s">
        <v>826</v>
      </c>
    </row>
    <row r="2009" spans="1:5" x14ac:dyDescent="0.25">
      <c r="A2009" t="str">
        <f t="shared" si="96"/>
        <v>32081</v>
      </c>
      <c r="B2009" t="s">
        <v>2926</v>
      </c>
      <c r="C2009" t="s">
        <v>2972</v>
      </c>
      <c r="D2009" t="str">
        <f>"2108"</f>
        <v>2108</v>
      </c>
      <c r="E2009" t="s">
        <v>818</v>
      </c>
    </row>
    <row r="2010" spans="1:5" x14ac:dyDescent="0.25">
      <c r="A2010" t="str">
        <f t="shared" si="96"/>
        <v>32081</v>
      </c>
      <c r="B2010" t="s">
        <v>2926</v>
      </c>
      <c r="C2010" t="s">
        <v>2973</v>
      </c>
      <c r="D2010" t="str">
        <f>"5301"</f>
        <v>5301</v>
      </c>
      <c r="E2010" t="s">
        <v>824</v>
      </c>
    </row>
    <row r="2011" spans="1:5" x14ac:dyDescent="0.25">
      <c r="A2011" t="str">
        <f t="shared" si="96"/>
        <v>32081</v>
      </c>
      <c r="B2011" t="s">
        <v>2926</v>
      </c>
      <c r="C2011" t="s">
        <v>2974</v>
      </c>
      <c r="D2011" t="str">
        <f>"1767"</f>
        <v>1767</v>
      </c>
      <c r="E2011" t="s">
        <v>824</v>
      </c>
    </row>
    <row r="2012" spans="1:5" x14ac:dyDescent="0.25">
      <c r="A2012" t="str">
        <f t="shared" si="96"/>
        <v>32081</v>
      </c>
      <c r="B2012" t="s">
        <v>2926</v>
      </c>
      <c r="C2012" t="s">
        <v>2975</v>
      </c>
      <c r="D2012" t="str">
        <f>"3063"</f>
        <v>3063</v>
      </c>
      <c r="E2012" t="s">
        <v>818</v>
      </c>
    </row>
    <row r="2013" spans="1:5" x14ac:dyDescent="0.25">
      <c r="A2013" t="str">
        <f t="shared" si="96"/>
        <v>32081</v>
      </c>
      <c r="B2013" t="s">
        <v>2926</v>
      </c>
      <c r="C2013" t="s">
        <v>2976</v>
      </c>
      <c r="D2013" t="str">
        <f>"2191"</f>
        <v>2191</v>
      </c>
      <c r="E2013" t="s">
        <v>818</v>
      </c>
    </row>
    <row r="2014" spans="1:5" x14ac:dyDescent="0.25">
      <c r="A2014" t="str">
        <f t="shared" si="96"/>
        <v>32081</v>
      </c>
      <c r="B2014" t="s">
        <v>2926</v>
      </c>
      <c r="C2014" t="s">
        <v>2977</v>
      </c>
      <c r="D2014" t="str">
        <f>"2109"</f>
        <v>2109</v>
      </c>
      <c r="E2014" t="s">
        <v>818</v>
      </c>
    </row>
    <row r="2015" spans="1:5" x14ac:dyDescent="0.25">
      <c r="A2015" t="str">
        <f t="shared" si="96"/>
        <v>32081</v>
      </c>
      <c r="B2015" t="s">
        <v>2926</v>
      </c>
      <c r="C2015" t="s">
        <v>2978</v>
      </c>
      <c r="D2015" t="str">
        <f>"2296"</f>
        <v>2296</v>
      </c>
      <c r="E2015" t="s">
        <v>818</v>
      </c>
    </row>
    <row r="2016" spans="1:5" x14ac:dyDescent="0.25">
      <c r="A2016" t="str">
        <f t="shared" si="96"/>
        <v>32081</v>
      </c>
      <c r="B2016" t="s">
        <v>2926</v>
      </c>
      <c r="C2016" t="s">
        <v>956</v>
      </c>
      <c r="D2016" t="str">
        <f>"4192"</f>
        <v>4192</v>
      </c>
      <c r="E2016" t="s">
        <v>818</v>
      </c>
    </row>
    <row r="2017" spans="1:5" x14ac:dyDescent="0.25">
      <c r="A2017" t="str">
        <f>"22008"</f>
        <v>22008</v>
      </c>
      <c r="B2017" t="s">
        <v>2979</v>
      </c>
      <c r="C2017" t="s">
        <v>2980</v>
      </c>
      <c r="D2017" t="str">
        <f>"3050"</f>
        <v>3050</v>
      </c>
      <c r="E2017" t="s">
        <v>818</v>
      </c>
    </row>
    <row r="2018" spans="1:5" x14ac:dyDescent="0.25">
      <c r="A2018" t="str">
        <f>"22008"</f>
        <v>22008</v>
      </c>
      <c r="B2018" t="s">
        <v>2979</v>
      </c>
      <c r="C2018" t="s">
        <v>2981</v>
      </c>
      <c r="D2018" t="str">
        <f>"2186"</f>
        <v>2186</v>
      </c>
      <c r="E2018" t="s">
        <v>824</v>
      </c>
    </row>
    <row r="2019" spans="1:5" x14ac:dyDescent="0.25">
      <c r="A2019" t="str">
        <f>"38322"</f>
        <v>38322</v>
      </c>
      <c r="B2019" t="s">
        <v>2982</v>
      </c>
      <c r="C2019" t="s">
        <v>2983</v>
      </c>
      <c r="D2019" t="str">
        <f>"3069"</f>
        <v>3069</v>
      </c>
      <c r="E2019" t="s">
        <v>818</v>
      </c>
    </row>
    <row r="2020" spans="1:5" x14ac:dyDescent="0.25">
      <c r="A2020" t="str">
        <f>"38322"</f>
        <v>38322</v>
      </c>
      <c r="B2020" t="s">
        <v>2982</v>
      </c>
      <c r="C2020" t="s">
        <v>2984</v>
      </c>
      <c r="D2020" t="str">
        <f>"3068"</f>
        <v>3068</v>
      </c>
      <c r="E2020" t="s">
        <v>824</v>
      </c>
    </row>
    <row r="2021" spans="1:5" x14ac:dyDescent="0.25">
      <c r="A2021" t="str">
        <f t="shared" ref="A2021:A2031" si="97">"31401"</f>
        <v>31401</v>
      </c>
      <c r="B2021" t="s">
        <v>2985</v>
      </c>
      <c r="C2021" t="s">
        <v>2986</v>
      </c>
      <c r="D2021" t="str">
        <f>"4513"</f>
        <v>4513</v>
      </c>
      <c r="E2021" t="s">
        <v>818</v>
      </c>
    </row>
    <row r="2022" spans="1:5" x14ac:dyDescent="0.25">
      <c r="A2022" t="str">
        <f t="shared" si="97"/>
        <v>31401</v>
      </c>
      <c r="B2022" t="s">
        <v>2985</v>
      </c>
      <c r="C2022" t="s">
        <v>2987</v>
      </c>
      <c r="D2022" t="str">
        <f>"4553"</f>
        <v>4553</v>
      </c>
      <c r="E2022" t="s">
        <v>818</v>
      </c>
    </row>
    <row r="2023" spans="1:5" x14ac:dyDescent="0.25">
      <c r="A2023" t="str">
        <f t="shared" si="97"/>
        <v>31401</v>
      </c>
      <c r="B2023" t="s">
        <v>2985</v>
      </c>
      <c r="C2023" t="s">
        <v>2988</v>
      </c>
      <c r="D2023" t="str">
        <f>"5108"</f>
        <v>5108</v>
      </c>
      <c r="E2023" t="s">
        <v>830</v>
      </c>
    </row>
    <row r="2024" spans="1:5" x14ac:dyDescent="0.25">
      <c r="A2024" t="str">
        <f t="shared" si="97"/>
        <v>31401</v>
      </c>
      <c r="B2024" t="s">
        <v>2985</v>
      </c>
      <c r="C2024" t="s">
        <v>2989</v>
      </c>
      <c r="D2024" t="str">
        <f>"1707"</f>
        <v>1707</v>
      </c>
      <c r="E2024" t="s">
        <v>824</v>
      </c>
    </row>
    <row r="2025" spans="1:5" x14ac:dyDescent="0.25">
      <c r="A2025" t="str">
        <f t="shared" si="97"/>
        <v>31401</v>
      </c>
      <c r="B2025" t="s">
        <v>2985</v>
      </c>
      <c r="C2025" t="s">
        <v>2990</v>
      </c>
      <c r="D2025" t="str">
        <f>"4512"</f>
        <v>4512</v>
      </c>
      <c r="E2025" t="s">
        <v>830</v>
      </c>
    </row>
    <row r="2026" spans="1:5" x14ac:dyDescent="0.25">
      <c r="A2026" t="str">
        <f t="shared" si="97"/>
        <v>31401</v>
      </c>
      <c r="B2026" t="s">
        <v>2985</v>
      </c>
      <c r="C2026" t="s">
        <v>2991</v>
      </c>
      <c r="D2026" t="str">
        <f>"5004"</f>
        <v>5004</v>
      </c>
      <c r="E2026" t="s">
        <v>859</v>
      </c>
    </row>
    <row r="2027" spans="1:5" x14ac:dyDescent="0.25">
      <c r="A2027" t="str">
        <f t="shared" si="97"/>
        <v>31401</v>
      </c>
      <c r="B2027" t="s">
        <v>2985</v>
      </c>
      <c r="C2027" t="s">
        <v>2992</v>
      </c>
      <c r="D2027" t="str">
        <f>"3125"</f>
        <v>3125</v>
      </c>
      <c r="E2027" t="s">
        <v>818</v>
      </c>
    </row>
    <row r="2028" spans="1:5" x14ac:dyDescent="0.25">
      <c r="A2028" t="str">
        <f t="shared" si="97"/>
        <v>31401</v>
      </c>
      <c r="B2028" t="s">
        <v>2985</v>
      </c>
      <c r="C2028" t="s">
        <v>2993</v>
      </c>
      <c r="D2028" t="str">
        <f>"2581"</f>
        <v>2581</v>
      </c>
      <c r="E2028" t="s">
        <v>824</v>
      </c>
    </row>
    <row r="2029" spans="1:5" x14ac:dyDescent="0.25">
      <c r="A2029" t="str">
        <f t="shared" si="97"/>
        <v>31401</v>
      </c>
      <c r="B2029" t="s">
        <v>2985</v>
      </c>
      <c r="C2029" t="s">
        <v>2994</v>
      </c>
      <c r="D2029" t="str">
        <f>"2400"</f>
        <v>2400</v>
      </c>
      <c r="E2029" t="s">
        <v>830</v>
      </c>
    </row>
    <row r="2030" spans="1:5" x14ac:dyDescent="0.25">
      <c r="A2030" t="str">
        <f t="shared" si="97"/>
        <v>31401</v>
      </c>
      <c r="B2030" t="s">
        <v>2985</v>
      </c>
      <c r="C2030" t="s">
        <v>2995</v>
      </c>
      <c r="D2030" t="str">
        <f>"4364"</f>
        <v>4364</v>
      </c>
      <c r="E2030" t="s">
        <v>818</v>
      </c>
    </row>
    <row r="2031" spans="1:5" x14ac:dyDescent="0.25">
      <c r="A2031" t="str">
        <f t="shared" si="97"/>
        <v>31401</v>
      </c>
      <c r="B2031" t="s">
        <v>2985</v>
      </c>
      <c r="C2031" t="s">
        <v>2996</v>
      </c>
      <c r="D2031" t="str">
        <f>"4551"</f>
        <v>4551</v>
      </c>
      <c r="E2031" t="s">
        <v>818</v>
      </c>
    </row>
    <row r="2032" spans="1:5" x14ac:dyDescent="0.25">
      <c r="A2032" t="str">
        <f>"11054"</f>
        <v>11054</v>
      </c>
      <c r="B2032" t="s">
        <v>2997</v>
      </c>
      <c r="C2032" t="s">
        <v>2998</v>
      </c>
      <c r="D2032" t="str">
        <f>"2007"</f>
        <v>2007</v>
      </c>
      <c r="E2032" t="s">
        <v>818</v>
      </c>
    </row>
    <row r="2033" spans="1:5" x14ac:dyDescent="0.25">
      <c r="A2033" t="str">
        <f>"07035"</f>
        <v>07035</v>
      </c>
      <c r="B2033" t="s">
        <v>2999</v>
      </c>
      <c r="C2033" t="s">
        <v>3000</v>
      </c>
      <c r="D2033" t="str">
        <f>"2135"</f>
        <v>2135</v>
      </c>
      <c r="E2033" t="s">
        <v>821</v>
      </c>
    </row>
    <row r="2034" spans="1:5" x14ac:dyDescent="0.25">
      <c r="A2034" t="str">
        <f>"04069"</f>
        <v>04069</v>
      </c>
      <c r="B2034" t="s">
        <v>3001</v>
      </c>
      <c r="C2034" t="s">
        <v>3002</v>
      </c>
      <c r="D2034" t="str">
        <f>"2265"</f>
        <v>2265</v>
      </c>
      <c r="E2034" t="s">
        <v>821</v>
      </c>
    </row>
    <row r="2035" spans="1:5" x14ac:dyDescent="0.25">
      <c r="A2035" t="str">
        <f t="shared" ref="A2035:A2044" si="98">"27001"</f>
        <v>27001</v>
      </c>
      <c r="B2035" t="s">
        <v>3003</v>
      </c>
      <c r="C2035" t="s">
        <v>3004</v>
      </c>
      <c r="D2035" t="str">
        <f>"2040"</f>
        <v>2040</v>
      </c>
      <c r="E2035" t="s">
        <v>818</v>
      </c>
    </row>
    <row r="2036" spans="1:5" x14ac:dyDescent="0.25">
      <c r="A2036" t="str">
        <f t="shared" si="98"/>
        <v>27001</v>
      </c>
      <c r="B2036" t="s">
        <v>3003</v>
      </c>
      <c r="C2036" t="s">
        <v>3005</v>
      </c>
      <c r="D2036" t="str">
        <f>"5389"</f>
        <v>5389</v>
      </c>
      <c r="E2036" t="s">
        <v>826</v>
      </c>
    </row>
    <row r="2037" spans="1:5" x14ac:dyDescent="0.25">
      <c r="A2037" t="str">
        <f t="shared" si="98"/>
        <v>27001</v>
      </c>
      <c r="B2037" t="s">
        <v>3003</v>
      </c>
      <c r="C2037" t="s">
        <v>3006</v>
      </c>
      <c r="D2037" t="str">
        <f>"3446"</f>
        <v>3446</v>
      </c>
      <c r="E2037" t="s">
        <v>818</v>
      </c>
    </row>
    <row r="2038" spans="1:5" x14ac:dyDescent="0.25">
      <c r="A2038" t="str">
        <f t="shared" si="98"/>
        <v>27001</v>
      </c>
      <c r="B2038" t="s">
        <v>3003</v>
      </c>
      <c r="C2038" t="s">
        <v>3007</v>
      </c>
      <c r="D2038" t="str">
        <f>"4562"</f>
        <v>4562</v>
      </c>
      <c r="E2038" t="s">
        <v>818</v>
      </c>
    </row>
    <row r="2039" spans="1:5" x14ac:dyDescent="0.25">
      <c r="A2039" t="str">
        <f t="shared" si="98"/>
        <v>27001</v>
      </c>
      <c r="B2039" t="s">
        <v>3003</v>
      </c>
      <c r="C2039" t="s">
        <v>3008</v>
      </c>
      <c r="D2039" t="str">
        <f>"5410"</f>
        <v>5410</v>
      </c>
      <c r="E2039" t="s">
        <v>824</v>
      </c>
    </row>
    <row r="2040" spans="1:5" x14ac:dyDescent="0.25">
      <c r="A2040" t="str">
        <f t="shared" si="98"/>
        <v>27001</v>
      </c>
      <c r="B2040" t="s">
        <v>3003</v>
      </c>
      <c r="C2040" t="s">
        <v>3009</v>
      </c>
      <c r="D2040" t="str">
        <f>"2237"</f>
        <v>2237</v>
      </c>
      <c r="E2040" t="s">
        <v>830</v>
      </c>
    </row>
    <row r="2041" spans="1:5" x14ac:dyDescent="0.25">
      <c r="A2041" t="str">
        <f t="shared" si="98"/>
        <v>27001</v>
      </c>
      <c r="B2041" t="s">
        <v>3003</v>
      </c>
      <c r="C2041" t="s">
        <v>3010</v>
      </c>
      <c r="D2041" t="str">
        <f>"5013"</f>
        <v>5013</v>
      </c>
      <c r="E2041" t="s">
        <v>826</v>
      </c>
    </row>
    <row r="2042" spans="1:5" x14ac:dyDescent="0.25">
      <c r="A2042" t="str">
        <f t="shared" si="98"/>
        <v>27001</v>
      </c>
      <c r="B2042" t="s">
        <v>3003</v>
      </c>
      <c r="C2042" t="s">
        <v>3011</v>
      </c>
      <c r="D2042" t="str">
        <f>"3827"</f>
        <v>3827</v>
      </c>
      <c r="E2042" t="s">
        <v>818</v>
      </c>
    </row>
    <row r="2043" spans="1:5" x14ac:dyDescent="0.25">
      <c r="A2043" t="str">
        <f t="shared" si="98"/>
        <v>27001</v>
      </c>
      <c r="B2043" t="s">
        <v>3003</v>
      </c>
      <c r="C2043" t="s">
        <v>3012</v>
      </c>
      <c r="D2043" t="str">
        <f>"4131"</f>
        <v>4131</v>
      </c>
      <c r="E2043" t="s">
        <v>824</v>
      </c>
    </row>
    <row r="2044" spans="1:5" x14ac:dyDescent="0.25">
      <c r="A2044" t="str">
        <f t="shared" si="98"/>
        <v>27001</v>
      </c>
      <c r="B2044" t="s">
        <v>3003</v>
      </c>
      <c r="C2044" t="s">
        <v>3013</v>
      </c>
      <c r="D2044" t="str">
        <f>"5527"</f>
        <v>5527</v>
      </c>
      <c r="E2044" t="s">
        <v>824</v>
      </c>
    </row>
    <row r="2045" spans="1:5" x14ac:dyDescent="0.25">
      <c r="A2045" t="str">
        <f>"38304"</f>
        <v>38304</v>
      </c>
      <c r="B2045" t="s">
        <v>3014</v>
      </c>
      <c r="C2045" t="s">
        <v>3015</v>
      </c>
      <c r="D2045" t="str">
        <f>"2115"</f>
        <v>2115</v>
      </c>
      <c r="E2045" t="s">
        <v>821</v>
      </c>
    </row>
    <row r="2046" spans="1:5" x14ac:dyDescent="0.25">
      <c r="A2046" t="str">
        <f>"30303"</f>
        <v>30303</v>
      </c>
      <c r="B2046" t="s">
        <v>3016</v>
      </c>
      <c r="C2046" t="s">
        <v>1923</v>
      </c>
      <c r="D2046" t="str">
        <f>"2882"</f>
        <v>2882</v>
      </c>
      <c r="E2046" t="s">
        <v>818</v>
      </c>
    </row>
    <row r="2047" spans="1:5" x14ac:dyDescent="0.25">
      <c r="A2047" t="str">
        <f>"30303"</f>
        <v>30303</v>
      </c>
      <c r="B2047" t="s">
        <v>3016</v>
      </c>
      <c r="C2047" t="s">
        <v>3017</v>
      </c>
      <c r="D2047" t="str">
        <f>"1765"</f>
        <v>1765</v>
      </c>
      <c r="E2047" t="s">
        <v>826</v>
      </c>
    </row>
    <row r="2048" spans="1:5" x14ac:dyDescent="0.25">
      <c r="A2048" t="str">
        <f>"30303"</f>
        <v>30303</v>
      </c>
      <c r="B2048" t="s">
        <v>3016</v>
      </c>
      <c r="C2048" t="s">
        <v>952</v>
      </c>
      <c r="D2048" t="str">
        <f>"2682"</f>
        <v>2682</v>
      </c>
      <c r="E2048" t="s">
        <v>818</v>
      </c>
    </row>
    <row r="2049" spans="1:5" x14ac:dyDescent="0.25">
      <c r="A2049" t="str">
        <f>"30303"</f>
        <v>30303</v>
      </c>
      <c r="B2049" t="s">
        <v>3016</v>
      </c>
      <c r="C2049" t="s">
        <v>3018</v>
      </c>
      <c r="D2049" t="str">
        <f>"3119"</f>
        <v>3119</v>
      </c>
      <c r="E2049" t="s">
        <v>824</v>
      </c>
    </row>
    <row r="2050" spans="1:5" x14ac:dyDescent="0.25">
      <c r="A2050" t="str">
        <f>"30303"</f>
        <v>30303</v>
      </c>
      <c r="B2050" t="s">
        <v>3016</v>
      </c>
      <c r="C2050" t="s">
        <v>3019</v>
      </c>
      <c r="D2050" t="str">
        <f>"3800"</f>
        <v>3800</v>
      </c>
      <c r="E2050" t="s">
        <v>830</v>
      </c>
    </row>
    <row r="2051" spans="1:5" x14ac:dyDescent="0.25">
      <c r="A2051" t="str">
        <f t="shared" ref="A2051:A2057" si="99">"31311"</f>
        <v>31311</v>
      </c>
      <c r="B2051" t="s">
        <v>3020</v>
      </c>
      <c r="C2051" t="s">
        <v>3021</v>
      </c>
      <c r="D2051" t="str">
        <f>"4399"</f>
        <v>4399</v>
      </c>
      <c r="E2051" t="s">
        <v>818</v>
      </c>
    </row>
    <row r="2052" spans="1:5" x14ac:dyDescent="0.25">
      <c r="A2052" t="str">
        <f t="shared" si="99"/>
        <v>31311</v>
      </c>
      <c r="B2052" t="s">
        <v>3020</v>
      </c>
      <c r="C2052" t="s">
        <v>3022</v>
      </c>
      <c r="D2052" t="str">
        <f>"5329"</f>
        <v>5329</v>
      </c>
      <c r="E2052" t="s">
        <v>824</v>
      </c>
    </row>
    <row r="2053" spans="1:5" x14ac:dyDescent="0.25">
      <c r="A2053" t="str">
        <f t="shared" si="99"/>
        <v>31311</v>
      </c>
      <c r="B2053" t="s">
        <v>3020</v>
      </c>
      <c r="C2053" t="s">
        <v>3023</v>
      </c>
      <c r="D2053" t="str">
        <f>"5114"</f>
        <v>5114</v>
      </c>
      <c r="E2053" t="s">
        <v>824</v>
      </c>
    </row>
    <row r="2054" spans="1:5" x14ac:dyDescent="0.25">
      <c r="A2054" t="str">
        <f t="shared" si="99"/>
        <v>31311</v>
      </c>
      <c r="B2054" t="s">
        <v>3020</v>
      </c>
      <c r="C2054" t="s">
        <v>3024</v>
      </c>
      <c r="D2054" t="str">
        <f>"1670"</f>
        <v>1670</v>
      </c>
      <c r="E2054" t="s">
        <v>826</v>
      </c>
    </row>
    <row r="2055" spans="1:5" x14ac:dyDescent="0.25">
      <c r="A2055" t="str">
        <f t="shared" si="99"/>
        <v>31311</v>
      </c>
      <c r="B2055" t="s">
        <v>3020</v>
      </c>
      <c r="C2055" t="s">
        <v>3025</v>
      </c>
      <c r="D2055" t="str">
        <f>"2229"</f>
        <v>2229</v>
      </c>
      <c r="E2055" t="s">
        <v>818</v>
      </c>
    </row>
    <row r="2056" spans="1:5" x14ac:dyDescent="0.25">
      <c r="A2056" t="str">
        <f t="shared" si="99"/>
        <v>31311</v>
      </c>
      <c r="B2056" t="s">
        <v>3020</v>
      </c>
      <c r="C2056" t="s">
        <v>3026</v>
      </c>
      <c r="D2056" t="str">
        <f>"2105"</f>
        <v>2105</v>
      </c>
      <c r="E2056" t="s">
        <v>830</v>
      </c>
    </row>
    <row r="2057" spans="1:5" x14ac:dyDescent="0.25">
      <c r="A2057" t="str">
        <f t="shared" si="99"/>
        <v>31311</v>
      </c>
      <c r="B2057" t="s">
        <v>3020</v>
      </c>
      <c r="C2057" t="s">
        <v>3027</v>
      </c>
      <c r="D2057" t="str">
        <f>"4274"</f>
        <v>4274</v>
      </c>
      <c r="E2057" t="s">
        <v>824</v>
      </c>
    </row>
    <row r="2058" spans="1:5" x14ac:dyDescent="0.25">
      <c r="A2058" t="str">
        <f>"17905"</f>
        <v>17905</v>
      </c>
      <c r="B2058" t="s">
        <v>3028</v>
      </c>
      <c r="C2058" t="s">
        <v>3028</v>
      </c>
      <c r="D2058" t="str">
        <f>"5469"</f>
        <v>5469</v>
      </c>
      <c r="E2058" t="s">
        <v>821</v>
      </c>
    </row>
    <row r="2059" spans="1:5" x14ac:dyDescent="0.25">
      <c r="A2059" t="str">
        <f>"27905"</f>
        <v>27905</v>
      </c>
      <c r="B2059" t="s">
        <v>3029</v>
      </c>
      <c r="C2059" t="s">
        <v>3029</v>
      </c>
      <c r="D2059" t="str">
        <f>"5376"</f>
        <v>5376</v>
      </c>
      <c r="E2059" t="s">
        <v>824</v>
      </c>
    </row>
    <row r="2060" spans="1:5" x14ac:dyDescent="0.25">
      <c r="A2060" t="str">
        <f>"17902"</f>
        <v>17902</v>
      </c>
      <c r="B2060" t="s">
        <v>3030</v>
      </c>
      <c r="C2060" t="s">
        <v>3030</v>
      </c>
      <c r="D2060" t="str">
        <f>"5375"</f>
        <v>5375</v>
      </c>
      <c r="E2060" t="s">
        <v>824</v>
      </c>
    </row>
    <row r="2061" spans="1:5" x14ac:dyDescent="0.25">
      <c r="A2061" t="str">
        <f>"33202"</f>
        <v>33202</v>
      </c>
      <c r="B2061" t="s">
        <v>3031</v>
      </c>
      <c r="C2061" t="s">
        <v>3032</v>
      </c>
      <c r="D2061" t="str">
        <f>"4394"</f>
        <v>4394</v>
      </c>
      <c r="E2061" t="s">
        <v>821</v>
      </c>
    </row>
    <row r="2062" spans="1:5" x14ac:dyDescent="0.25">
      <c r="A2062" t="str">
        <f t="shared" ref="A2062:A2076" si="100">"27320"</f>
        <v>27320</v>
      </c>
      <c r="B2062" t="s">
        <v>3033</v>
      </c>
      <c r="C2062" t="s">
        <v>3034</v>
      </c>
      <c r="D2062" t="str">
        <f>"3349"</f>
        <v>3349</v>
      </c>
      <c r="E2062" t="s">
        <v>818</v>
      </c>
    </row>
    <row r="2063" spans="1:5" x14ac:dyDescent="0.25">
      <c r="A2063" t="str">
        <f t="shared" si="100"/>
        <v>27320</v>
      </c>
      <c r="B2063" t="s">
        <v>3033</v>
      </c>
      <c r="C2063" t="s">
        <v>3035</v>
      </c>
      <c r="D2063" t="str">
        <f>"4585"</f>
        <v>4585</v>
      </c>
      <c r="E2063" t="s">
        <v>824</v>
      </c>
    </row>
    <row r="2064" spans="1:5" x14ac:dyDescent="0.25">
      <c r="A2064" t="str">
        <f t="shared" si="100"/>
        <v>27320</v>
      </c>
      <c r="B2064" t="s">
        <v>3033</v>
      </c>
      <c r="C2064" t="s">
        <v>3036</v>
      </c>
      <c r="D2064" t="str">
        <f>"4435"</f>
        <v>4435</v>
      </c>
      <c r="E2064" t="s">
        <v>818</v>
      </c>
    </row>
    <row r="2065" spans="1:5" x14ac:dyDescent="0.25">
      <c r="A2065" t="str">
        <f t="shared" si="100"/>
        <v>27320</v>
      </c>
      <c r="B2065" t="s">
        <v>3033</v>
      </c>
      <c r="C2065" t="s">
        <v>3037</v>
      </c>
      <c r="D2065" t="str">
        <f>"4541"</f>
        <v>4541</v>
      </c>
      <c r="E2065" t="s">
        <v>818</v>
      </c>
    </row>
    <row r="2066" spans="1:5" x14ac:dyDescent="0.25">
      <c r="A2066" t="str">
        <f t="shared" si="100"/>
        <v>27320</v>
      </c>
      <c r="B2066" t="s">
        <v>3033</v>
      </c>
      <c r="C2066" t="s">
        <v>3038</v>
      </c>
      <c r="D2066" t="str">
        <f>"3399"</f>
        <v>3399</v>
      </c>
      <c r="E2066" t="s">
        <v>818</v>
      </c>
    </row>
    <row r="2067" spans="1:5" x14ac:dyDescent="0.25">
      <c r="A2067" t="str">
        <f t="shared" si="100"/>
        <v>27320</v>
      </c>
      <c r="B2067" t="s">
        <v>3033</v>
      </c>
      <c r="C2067" t="s">
        <v>3039</v>
      </c>
      <c r="D2067" t="str">
        <f>"4250"</f>
        <v>4250</v>
      </c>
      <c r="E2067" t="s">
        <v>818</v>
      </c>
    </row>
    <row r="2068" spans="1:5" x14ac:dyDescent="0.25">
      <c r="A2068" t="str">
        <f t="shared" si="100"/>
        <v>27320</v>
      </c>
      <c r="B2068" t="s">
        <v>3033</v>
      </c>
      <c r="C2068" t="s">
        <v>3040</v>
      </c>
      <c r="D2068" t="str">
        <f>"4132"</f>
        <v>4132</v>
      </c>
      <c r="E2068" t="s">
        <v>830</v>
      </c>
    </row>
    <row r="2069" spans="1:5" x14ac:dyDescent="0.25">
      <c r="A2069" t="str">
        <f t="shared" si="100"/>
        <v>27320</v>
      </c>
      <c r="B2069" t="s">
        <v>3033</v>
      </c>
      <c r="C2069" t="s">
        <v>3041</v>
      </c>
      <c r="D2069" t="str">
        <f>"4402"</f>
        <v>4402</v>
      </c>
      <c r="E2069" t="s">
        <v>818</v>
      </c>
    </row>
    <row r="2070" spans="1:5" x14ac:dyDescent="0.25">
      <c r="A2070" t="str">
        <f t="shared" si="100"/>
        <v>27320</v>
      </c>
      <c r="B2070" t="s">
        <v>3033</v>
      </c>
      <c r="C2070" t="s">
        <v>3042</v>
      </c>
      <c r="D2070" t="str">
        <f>"2875"</f>
        <v>2875</v>
      </c>
      <c r="E2070" t="s">
        <v>818</v>
      </c>
    </row>
    <row r="2071" spans="1:5" x14ac:dyDescent="0.25">
      <c r="A2071" t="str">
        <f t="shared" si="100"/>
        <v>27320</v>
      </c>
      <c r="B2071" t="s">
        <v>3033</v>
      </c>
      <c r="C2071" t="s">
        <v>1039</v>
      </c>
      <c r="D2071" t="str">
        <f>"4502"</f>
        <v>4502</v>
      </c>
      <c r="E2071" t="s">
        <v>830</v>
      </c>
    </row>
    <row r="2072" spans="1:5" x14ac:dyDescent="0.25">
      <c r="A2072" t="str">
        <f t="shared" si="100"/>
        <v>27320</v>
      </c>
      <c r="B2072" t="s">
        <v>3033</v>
      </c>
      <c r="C2072" t="s">
        <v>3043</v>
      </c>
      <c r="D2072" t="str">
        <f>"3247"</f>
        <v>3247</v>
      </c>
      <c r="E2072" t="s">
        <v>824</v>
      </c>
    </row>
    <row r="2073" spans="1:5" x14ac:dyDescent="0.25">
      <c r="A2073" t="str">
        <f t="shared" si="100"/>
        <v>27320</v>
      </c>
      <c r="B2073" t="s">
        <v>3033</v>
      </c>
      <c r="C2073" t="s">
        <v>3044</v>
      </c>
      <c r="D2073" t="str">
        <f>"3499"</f>
        <v>3499</v>
      </c>
      <c r="E2073" t="s">
        <v>830</v>
      </c>
    </row>
    <row r="2074" spans="1:5" x14ac:dyDescent="0.25">
      <c r="A2074" t="str">
        <f t="shared" si="100"/>
        <v>27320</v>
      </c>
      <c r="B2074" t="s">
        <v>3033</v>
      </c>
      <c r="C2074" t="s">
        <v>3045</v>
      </c>
      <c r="D2074" t="str">
        <f>"1781"</f>
        <v>1781</v>
      </c>
      <c r="E2074" t="s">
        <v>826</v>
      </c>
    </row>
    <row r="2075" spans="1:5" x14ac:dyDescent="0.25">
      <c r="A2075" t="str">
        <f t="shared" si="100"/>
        <v>27320</v>
      </c>
      <c r="B2075" t="s">
        <v>3033</v>
      </c>
      <c r="C2075" t="s">
        <v>3046</v>
      </c>
      <c r="D2075" t="str">
        <f>"5524"</f>
        <v>5524</v>
      </c>
      <c r="E2075" t="s">
        <v>818</v>
      </c>
    </row>
    <row r="2076" spans="1:5" x14ac:dyDescent="0.25">
      <c r="A2076" t="str">
        <f t="shared" si="100"/>
        <v>27320</v>
      </c>
      <c r="B2076" t="s">
        <v>3033</v>
      </c>
      <c r="C2076" t="s">
        <v>3047</v>
      </c>
      <c r="D2076" t="str">
        <f>"4166"</f>
        <v>4166</v>
      </c>
      <c r="E2076" t="s">
        <v>818</v>
      </c>
    </row>
    <row r="2077" spans="1:5" x14ac:dyDescent="0.25">
      <c r="A2077" t="str">
        <f t="shared" ref="A2077:A2085" si="101">"39201"</f>
        <v>39201</v>
      </c>
      <c r="B2077" t="s">
        <v>3048</v>
      </c>
      <c r="C2077" t="s">
        <v>3049</v>
      </c>
      <c r="D2077" t="str">
        <f>"4000"</f>
        <v>4000</v>
      </c>
      <c r="E2077" t="s">
        <v>818</v>
      </c>
    </row>
    <row r="2078" spans="1:5" x14ac:dyDescent="0.25">
      <c r="A2078" t="str">
        <f t="shared" si="101"/>
        <v>39201</v>
      </c>
      <c r="B2078" t="s">
        <v>3048</v>
      </c>
      <c r="C2078" t="s">
        <v>3050</v>
      </c>
      <c r="D2078" t="str">
        <f>"3313"</f>
        <v>3313</v>
      </c>
      <c r="E2078" t="s">
        <v>830</v>
      </c>
    </row>
    <row r="2079" spans="1:5" x14ac:dyDescent="0.25">
      <c r="A2079" t="str">
        <f t="shared" si="101"/>
        <v>39201</v>
      </c>
      <c r="B2079" t="s">
        <v>3048</v>
      </c>
      <c r="C2079" t="s">
        <v>3051</v>
      </c>
      <c r="D2079" t="str">
        <f>"2469"</f>
        <v>2469</v>
      </c>
      <c r="E2079" t="s">
        <v>818</v>
      </c>
    </row>
    <row r="2080" spans="1:5" x14ac:dyDescent="0.25">
      <c r="A2080" t="str">
        <f t="shared" si="101"/>
        <v>39201</v>
      </c>
      <c r="B2080" t="s">
        <v>3048</v>
      </c>
      <c r="C2080" t="s">
        <v>883</v>
      </c>
      <c r="D2080" t="str">
        <f>"4497"</f>
        <v>4497</v>
      </c>
      <c r="E2080" t="s">
        <v>818</v>
      </c>
    </row>
    <row r="2081" spans="1:5" x14ac:dyDescent="0.25">
      <c r="A2081" t="str">
        <f t="shared" si="101"/>
        <v>39201</v>
      </c>
      <c r="B2081" t="s">
        <v>3048</v>
      </c>
      <c r="C2081" t="s">
        <v>3052</v>
      </c>
      <c r="D2081" t="str">
        <f>"5352"</f>
        <v>5352</v>
      </c>
      <c r="E2081" t="s">
        <v>824</v>
      </c>
    </row>
    <row r="2082" spans="1:5" x14ac:dyDescent="0.25">
      <c r="A2082" t="str">
        <f t="shared" si="101"/>
        <v>39201</v>
      </c>
      <c r="B2082" t="s">
        <v>3048</v>
      </c>
      <c r="C2082" t="s">
        <v>3053</v>
      </c>
      <c r="D2082" t="str">
        <f>"5049"</f>
        <v>5049</v>
      </c>
      <c r="E2082" t="s">
        <v>830</v>
      </c>
    </row>
    <row r="2083" spans="1:5" x14ac:dyDescent="0.25">
      <c r="A2083" t="str">
        <f t="shared" si="101"/>
        <v>39201</v>
      </c>
      <c r="B2083" t="s">
        <v>3048</v>
      </c>
      <c r="C2083" t="s">
        <v>3054</v>
      </c>
      <c r="D2083" t="str">
        <f>"5137"</f>
        <v>5137</v>
      </c>
      <c r="E2083" t="s">
        <v>818</v>
      </c>
    </row>
    <row r="2084" spans="1:5" x14ac:dyDescent="0.25">
      <c r="A2084" t="str">
        <f t="shared" si="101"/>
        <v>39201</v>
      </c>
      <c r="B2084" t="s">
        <v>3048</v>
      </c>
      <c r="C2084" t="s">
        <v>3055</v>
      </c>
      <c r="D2084" t="str">
        <f>"2959"</f>
        <v>2959</v>
      </c>
      <c r="E2084" t="s">
        <v>824</v>
      </c>
    </row>
    <row r="2085" spans="1:5" x14ac:dyDescent="0.25">
      <c r="A2085" t="str">
        <f t="shared" si="101"/>
        <v>39201</v>
      </c>
      <c r="B2085" t="s">
        <v>3048</v>
      </c>
      <c r="C2085" t="s">
        <v>3056</v>
      </c>
      <c r="D2085" t="str">
        <f>"2717"</f>
        <v>2717</v>
      </c>
      <c r="E2085" t="s">
        <v>818</v>
      </c>
    </row>
    <row r="2086" spans="1:5" x14ac:dyDescent="0.25">
      <c r="A2086" t="str">
        <f>"18902"</f>
        <v>18902</v>
      </c>
      <c r="B2086" t="s">
        <v>3057</v>
      </c>
      <c r="C2086" t="s">
        <v>3058</v>
      </c>
      <c r="D2086" t="str">
        <f>"5319"</f>
        <v>5319</v>
      </c>
      <c r="E2086" t="s">
        <v>859</v>
      </c>
    </row>
    <row r="2087" spans="1:5" x14ac:dyDescent="0.25">
      <c r="A2087" t="str">
        <f t="shared" ref="A2087:A2118" si="102">"27010"</f>
        <v>27010</v>
      </c>
      <c r="B2087" t="s">
        <v>3059</v>
      </c>
      <c r="C2087" t="s">
        <v>3060</v>
      </c>
      <c r="D2087" t="str">
        <f>"1514"</f>
        <v>1514</v>
      </c>
      <c r="E2087" t="s">
        <v>824</v>
      </c>
    </row>
    <row r="2088" spans="1:5" x14ac:dyDescent="0.25">
      <c r="A2088" t="str">
        <f t="shared" si="102"/>
        <v>27010</v>
      </c>
      <c r="B2088" t="s">
        <v>3059</v>
      </c>
      <c r="C2088" t="s">
        <v>3061</v>
      </c>
      <c r="D2088" t="str">
        <f>"4575"</f>
        <v>4575</v>
      </c>
      <c r="E2088" t="s">
        <v>830</v>
      </c>
    </row>
    <row r="2089" spans="1:5" x14ac:dyDescent="0.25">
      <c r="A2089" t="str">
        <f t="shared" si="102"/>
        <v>27010</v>
      </c>
      <c r="B2089" t="s">
        <v>3059</v>
      </c>
      <c r="C2089" t="s">
        <v>3062</v>
      </c>
      <c r="D2089" t="str">
        <f>"2940"</f>
        <v>2940</v>
      </c>
      <c r="E2089" t="s">
        <v>818</v>
      </c>
    </row>
    <row r="2090" spans="1:5" x14ac:dyDescent="0.25">
      <c r="A2090" t="str">
        <f t="shared" si="102"/>
        <v>27010</v>
      </c>
      <c r="B2090" t="s">
        <v>3059</v>
      </c>
      <c r="C2090" t="s">
        <v>3063</v>
      </c>
      <c r="D2090" t="str">
        <f>"3054"</f>
        <v>3054</v>
      </c>
      <c r="E2090" t="s">
        <v>830</v>
      </c>
    </row>
    <row r="2091" spans="1:5" x14ac:dyDescent="0.25">
      <c r="A2091" t="str">
        <f t="shared" si="102"/>
        <v>27010</v>
      </c>
      <c r="B2091" t="s">
        <v>3059</v>
      </c>
      <c r="C2091" t="s">
        <v>3064</v>
      </c>
      <c r="D2091" t="str">
        <f>"3449"</f>
        <v>3449</v>
      </c>
      <c r="E2091" t="s">
        <v>818</v>
      </c>
    </row>
    <row r="2092" spans="1:5" x14ac:dyDescent="0.25">
      <c r="A2092" t="str">
        <f t="shared" si="102"/>
        <v>27010</v>
      </c>
      <c r="B2092" t="s">
        <v>3059</v>
      </c>
      <c r="C2092" t="s">
        <v>3065</v>
      </c>
      <c r="D2092" t="str">
        <f>"2094"</f>
        <v>2094</v>
      </c>
      <c r="E2092" t="s">
        <v>818</v>
      </c>
    </row>
    <row r="2093" spans="1:5" x14ac:dyDescent="0.25">
      <c r="A2093" t="str">
        <f t="shared" si="102"/>
        <v>27010</v>
      </c>
      <c r="B2093" t="s">
        <v>3059</v>
      </c>
      <c r="C2093" t="s">
        <v>3066</v>
      </c>
      <c r="D2093" t="str">
        <f>"3646"</f>
        <v>3646</v>
      </c>
      <c r="E2093" t="s">
        <v>818</v>
      </c>
    </row>
    <row r="2094" spans="1:5" x14ac:dyDescent="0.25">
      <c r="A2094" t="str">
        <f t="shared" si="102"/>
        <v>27010</v>
      </c>
      <c r="B2094" t="s">
        <v>3059</v>
      </c>
      <c r="C2094" t="s">
        <v>3067</v>
      </c>
      <c r="D2094" t="str">
        <f>"2872"</f>
        <v>2872</v>
      </c>
      <c r="E2094" t="s">
        <v>818</v>
      </c>
    </row>
    <row r="2095" spans="1:5" x14ac:dyDescent="0.25">
      <c r="A2095" t="str">
        <f t="shared" si="102"/>
        <v>27010</v>
      </c>
      <c r="B2095" t="s">
        <v>3059</v>
      </c>
      <c r="C2095" t="s">
        <v>3068</v>
      </c>
      <c r="D2095" t="str">
        <f>"3397"</f>
        <v>3397</v>
      </c>
      <c r="E2095" t="s">
        <v>821</v>
      </c>
    </row>
    <row r="2096" spans="1:5" x14ac:dyDescent="0.25">
      <c r="A2096" t="str">
        <f t="shared" si="102"/>
        <v>27010</v>
      </c>
      <c r="B2096" t="s">
        <v>3059</v>
      </c>
      <c r="C2096" t="s">
        <v>3069</v>
      </c>
      <c r="D2096" t="str">
        <f>"1585"</f>
        <v>1585</v>
      </c>
      <c r="E2096" t="s">
        <v>824</v>
      </c>
    </row>
    <row r="2097" spans="1:5" x14ac:dyDescent="0.25">
      <c r="A2097" t="str">
        <f t="shared" si="102"/>
        <v>27010</v>
      </c>
      <c r="B2097" t="s">
        <v>3059</v>
      </c>
      <c r="C2097" t="s">
        <v>3070</v>
      </c>
      <c r="D2097" t="str">
        <f>"4537"</f>
        <v>4537</v>
      </c>
      <c r="E2097" t="s">
        <v>818</v>
      </c>
    </row>
    <row r="2098" spans="1:5" x14ac:dyDescent="0.25">
      <c r="A2098" t="str">
        <f t="shared" si="102"/>
        <v>27010</v>
      </c>
      <c r="B2098" t="s">
        <v>3059</v>
      </c>
      <c r="C2098" t="s">
        <v>3071</v>
      </c>
      <c r="D2098" t="str">
        <f>"1797"</f>
        <v>1797</v>
      </c>
      <c r="E2098" t="s">
        <v>824</v>
      </c>
    </row>
    <row r="2099" spans="1:5" x14ac:dyDescent="0.25">
      <c r="A2099" t="str">
        <f t="shared" si="102"/>
        <v>27010</v>
      </c>
      <c r="B2099" t="s">
        <v>3059</v>
      </c>
      <c r="C2099" t="s">
        <v>3072</v>
      </c>
      <c r="D2099" t="str">
        <f>"2939"</f>
        <v>2939</v>
      </c>
      <c r="E2099" t="s">
        <v>818</v>
      </c>
    </row>
    <row r="2100" spans="1:5" x14ac:dyDescent="0.25">
      <c r="A2100" t="str">
        <f t="shared" si="102"/>
        <v>27010</v>
      </c>
      <c r="B2100" t="s">
        <v>3059</v>
      </c>
      <c r="C2100" t="s">
        <v>3073</v>
      </c>
      <c r="D2100" t="str">
        <f>"2747"</f>
        <v>2747</v>
      </c>
      <c r="E2100" t="s">
        <v>818</v>
      </c>
    </row>
    <row r="2101" spans="1:5" x14ac:dyDescent="0.25">
      <c r="A2101" t="str">
        <f t="shared" si="102"/>
        <v>27010</v>
      </c>
      <c r="B2101" t="s">
        <v>3059</v>
      </c>
      <c r="C2101" t="s">
        <v>3074</v>
      </c>
      <c r="D2101" t="str">
        <f>"2871"</f>
        <v>2871</v>
      </c>
      <c r="E2101" t="s">
        <v>818</v>
      </c>
    </row>
    <row r="2102" spans="1:5" x14ac:dyDescent="0.25">
      <c r="A2102" t="str">
        <f t="shared" si="102"/>
        <v>27010</v>
      </c>
      <c r="B2102" t="s">
        <v>3059</v>
      </c>
      <c r="C2102" t="s">
        <v>3075</v>
      </c>
      <c r="D2102" t="str">
        <f>"2772"</f>
        <v>2772</v>
      </c>
      <c r="E2102" t="s">
        <v>818</v>
      </c>
    </row>
    <row r="2103" spans="1:5" x14ac:dyDescent="0.25">
      <c r="A2103" t="str">
        <f t="shared" si="102"/>
        <v>27010</v>
      </c>
      <c r="B2103" t="s">
        <v>3059</v>
      </c>
      <c r="C2103" t="s">
        <v>3076</v>
      </c>
      <c r="D2103" t="str">
        <f>"2167"</f>
        <v>2167</v>
      </c>
      <c r="E2103" t="s">
        <v>818</v>
      </c>
    </row>
    <row r="2104" spans="1:5" x14ac:dyDescent="0.25">
      <c r="A2104" t="str">
        <f t="shared" si="102"/>
        <v>27010</v>
      </c>
      <c r="B2104" t="s">
        <v>3059</v>
      </c>
      <c r="C2104" t="s">
        <v>3077</v>
      </c>
      <c r="D2104" t="str">
        <f>"5170"</f>
        <v>5170</v>
      </c>
      <c r="E2104" t="s">
        <v>830</v>
      </c>
    </row>
    <row r="2105" spans="1:5" x14ac:dyDescent="0.25">
      <c r="A2105" t="str">
        <f t="shared" si="102"/>
        <v>27010</v>
      </c>
      <c r="B2105" t="s">
        <v>3059</v>
      </c>
      <c r="C2105" t="s">
        <v>3078</v>
      </c>
      <c r="D2105" t="str">
        <f>"3880"</f>
        <v>3880</v>
      </c>
      <c r="E2105" t="s">
        <v>824</v>
      </c>
    </row>
    <row r="2106" spans="1:5" x14ac:dyDescent="0.25">
      <c r="A2106" t="str">
        <f t="shared" si="102"/>
        <v>27010</v>
      </c>
      <c r="B2106" t="s">
        <v>3059</v>
      </c>
      <c r="C2106" t="s">
        <v>3079</v>
      </c>
      <c r="D2106" t="str">
        <f>"2148"</f>
        <v>2148</v>
      </c>
      <c r="E2106" t="s">
        <v>818</v>
      </c>
    </row>
    <row r="2107" spans="1:5" x14ac:dyDescent="0.25">
      <c r="A2107" t="str">
        <f t="shared" si="102"/>
        <v>27010</v>
      </c>
      <c r="B2107" t="s">
        <v>3059</v>
      </c>
      <c r="C2107" t="s">
        <v>3080</v>
      </c>
      <c r="D2107" t="str">
        <f>"5307"</f>
        <v>5307</v>
      </c>
      <c r="E2107" t="s">
        <v>824</v>
      </c>
    </row>
    <row r="2108" spans="1:5" x14ac:dyDescent="0.25">
      <c r="A2108" t="str">
        <f t="shared" si="102"/>
        <v>27010</v>
      </c>
      <c r="B2108" t="s">
        <v>3059</v>
      </c>
      <c r="C2108" t="s">
        <v>3081</v>
      </c>
      <c r="D2108" t="str">
        <f>"2746"</f>
        <v>2746</v>
      </c>
      <c r="E2108" t="s">
        <v>818</v>
      </c>
    </row>
    <row r="2109" spans="1:5" x14ac:dyDescent="0.25">
      <c r="A2109" t="str">
        <f t="shared" si="102"/>
        <v>27010</v>
      </c>
      <c r="B2109" t="s">
        <v>3059</v>
      </c>
      <c r="C2109" t="s">
        <v>3082</v>
      </c>
      <c r="D2109" t="str">
        <f>"3053"</f>
        <v>3053</v>
      </c>
      <c r="E2109" t="s">
        <v>818</v>
      </c>
    </row>
    <row r="2110" spans="1:5" x14ac:dyDescent="0.25">
      <c r="A2110" t="str">
        <f t="shared" si="102"/>
        <v>27010</v>
      </c>
      <c r="B2110" t="s">
        <v>3059</v>
      </c>
      <c r="C2110" t="s">
        <v>3083</v>
      </c>
      <c r="D2110" t="str">
        <f>"2377"</f>
        <v>2377</v>
      </c>
      <c r="E2110" t="s">
        <v>830</v>
      </c>
    </row>
    <row r="2111" spans="1:5" x14ac:dyDescent="0.25">
      <c r="A2111" t="str">
        <f t="shared" si="102"/>
        <v>27010</v>
      </c>
      <c r="B2111" t="s">
        <v>3059</v>
      </c>
      <c r="C2111" t="s">
        <v>3084</v>
      </c>
      <c r="D2111" t="str">
        <f>"5066"</f>
        <v>5066</v>
      </c>
      <c r="E2111" t="s">
        <v>818</v>
      </c>
    </row>
    <row r="2112" spans="1:5" x14ac:dyDescent="0.25">
      <c r="A2112" t="str">
        <f t="shared" si="102"/>
        <v>27010</v>
      </c>
      <c r="B2112" t="s">
        <v>3059</v>
      </c>
      <c r="C2112" t="s">
        <v>3085</v>
      </c>
      <c r="D2112" t="str">
        <f>"5459"</f>
        <v>5459</v>
      </c>
      <c r="E2112" t="s">
        <v>826</v>
      </c>
    </row>
    <row r="2113" spans="1:5" x14ac:dyDescent="0.25">
      <c r="A2113" t="str">
        <f t="shared" si="102"/>
        <v>27010</v>
      </c>
      <c r="B2113" t="s">
        <v>3059</v>
      </c>
      <c r="C2113" t="s">
        <v>3086</v>
      </c>
      <c r="D2113" t="str">
        <f>"5458"</f>
        <v>5458</v>
      </c>
      <c r="E2113" t="s">
        <v>824</v>
      </c>
    </row>
    <row r="2114" spans="1:5" x14ac:dyDescent="0.25">
      <c r="A2114" t="str">
        <f t="shared" si="102"/>
        <v>27010</v>
      </c>
      <c r="B2114" t="s">
        <v>3059</v>
      </c>
      <c r="C2114" t="s">
        <v>3087</v>
      </c>
      <c r="D2114" t="str">
        <f>"2338"</f>
        <v>2338</v>
      </c>
      <c r="E2114" t="s">
        <v>830</v>
      </c>
    </row>
    <row r="2115" spans="1:5" x14ac:dyDescent="0.25">
      <c r="A2115" t="str">
        <f t="shared" si="102"/>
        <v>27010</v>
      </c>
      <c r="B2115" t="s">
        <v>3059</v>
      </c>
      <c r="C2115" t="s">
        <v>3088</v>
      </c>
      <c r="D2115" t="str">
        <f>"2103"</f>
        <v>2103</v>
      </c>
      <c r="E2115" t="s">
        <v>818</v>
      </c>
    </row>
    <row r="2116" spans="1:5" x14ac:dyDescent="0.25">
      <c r="A2116" t="str">
        <f t="shared" si="102"/>
        <v>27010</v>
      </c>
      <c r="B2116" t="s">
        <v>3059</v>
      </c>
      <c r="C2116" t="s">
        <v>3089</v>
      </c>
      <c r="D2116" t="str">
        <f>"2036"</f>
        <v>2036</v>
      </c>
      <c r="E2116" t="s">
        <v>818</v>
      </c>
    </row>
    <row r="2117" spans="1:5" x14ac:dyDescent="0.25">
      <c r="A2117" t="str">
        <f t="shared" si="102"/>
        <v>27010</v>
      </c>
      <c r="B2117" t="s">
        <v>3059</v>
      </c>
      <c r="C2117" t="s">
        <v>3090</v>
      </c>
      <c r="D2117" t="str">
        <f>"2215"</f>
        <v>2215</v>
      </c>
      <c r="E2117" t="s">
        <v>824</v>
      </c>
    </row>
    <row r="2118" spans="1:5" x14ac:dyDescent="0.25">
      <c r="A2118" t="str">
        <f t="shared" si="102"/>
        <v>27010</v>
      </c>
      <c r="B2118" t="s">
        <v>3059</v>
      </c>
      <c r="C2118" t="s">
        <v>3091</v>
      </c>
      <c r="D2118" t="str">
        <f>"2771"</f>
        <v>2771</v>
      </c>
      <c r="E2118" t="s">
        <v>818</v>
      </c>
    </row>
    <row r="2119" spans="1:5" x14ac:dyDescent="0.25">
      <c r="A2119" t="str">
        <f t="shared" ref="A2119:A2152" si="103">"27010"</f>
        <v>27010</v>
      </c>
      <c r="B2119" t="s">
        <v>3059</v>
      </c>
      <c r="C2119" t="s">
        <v>3092</v>
      </c>
      <c r="D2119" t="str">
        <f>"2805"</f>
        <v>2805</v>
      </c>
      <c r="E2119" t="s">
        <v>818</v>
      </c>
    </row>
    <row r="2120" spans="1:5" x14ac:dyDescent="0.25">
      <c r="A2120" t="str">
        <f t="shared" si="103"/>
        <v>27010</v>
      </c>
      <c r="B2120" t="s">
        <v>3059</v>
      </c>
      <c r="C2120" t="s">
        <v>3093</v>
      </c>
      <c r="D2120" t="str">
        <f>"2336"</f>
        <v>2336</v>
      </c>
      <c r="E2120" t="s">
        <v>818</v>
      </c>
    </row>
    <row r="2121" spans="1:5" x14ac:dyDescent="0.25">
      <c r="A2121" t="str">
        <f t="shared" si="103"/>
        <v>27010</v>
      </c>
      <c r="B2121" t="s">
        <v>3059</v>
      </c>
      <c r="C2121" t="s">
        <v>3094</v>
      </c>
      <c r="D2121" t="str">
        <f>"2335"</f>
        <v>2335</v>
      </c>
      <c r="E2121" t="s">
        <v>826</v>
      </c>
    </row>
    <row r="2122" spans="1:5" x14ac:dyDescent="0.25">
      <c r="A2122" t="str">
        <f t="shared" si="103"/>
        <v>27010</v>
      </c>
      <c r="B2122" t="s">
        <v>3059</v>
      </c>
      <c r="C2122" t="s">
        <v>3095</v>
      </c>
      <c r="D2122" t="str">
        <f>"2252"</f>
        <v>2252</v>
      </c>
      <c r="E2122" t="s">
        <v>818</v>
      </c>
    </row>
    <row r="2123" spans="1:5" x14ac:dyDescent="0.25">
      <c r="A2123" t="str">
        <f t="shared" si="103"/>
        <v>27010</v>
      </c>
      <c r="B2123" t="s">
        <v>3059</v>
      </c>
      <c r="C2123" t="s">
        <v>3096</v>
      </c>
      <c r="D2123" t="str">
        <f>"2941"</f>
        <v>2941</v>
      </c>
      <c r="E2123" t="s">
        <v>818</v>
      </c>
    </row>
    <row r="2124" spans="1:5" x14ac:dyDescent="0.25">
      <c r="A2124" t="str">
        <f t="shared" si="103"/>
        <v>27010</v>
      </c>
      <c r="B2124" t="s">
        <v>3059</v>
      </c>
      <c r="C2124" t="s">
        <v>3097</v>
      </c>
      <c r="D2124" t="str">
        <f>"2376"</f>
        <v>2376</v>
      </c>
      <c r="E2124" t="s">
        <v>830</v>
      </c>
    </row>
    <row r="2125" spans="1:5" x14ac:dyDescent="0.25">
      <c r="A2125" t="str">
        <f t="shared" si="103"/>
        <v>27010</v>
      </c>
      <c r="B2125" t="s">
        <v>3059</v>
      </c>
      <c r="C2125" t="s">
        <v>3098</v>
      </c>
      <c r="D2125" t="str">
        <f>"3453"</f>
        <v>3453</v>
      </c>
      <c r="E2125" t="s">
        <v>818</v>
      </c>
    </row>
    <row r="2126" spans="1:5" x14ac:dyDescent="0.25">
      <c r="A2126" t="str">
        <f t="shared" si="103"/>
        <v>27010</v>
      </c>
      <c r="B2126" t="s">
        <v>3059</v>
      </c>
      <c r="C2126" t="s">
        <v>3099</v>
      </c>
      <c r="D2126" t="str">
        <f>"3244"</f>
        <v>3244</v>
      </c>
      <c r="E2126" t="s">
        <v>830</v>
      </c>
    </row>
    <row r="2127" spans="1:5" x14ac:dyDescent="0.25">
      <c r="A2127" t="str">
        <f t="shared" si="103"/>
        <v>27010</v>
      </c>
      <c r="B2127" t="s">
        <v>3059</v>
      </c>
      <c r="C2127" t="s">
        <v>3100</v>
      </c>
      <c r="D2127" t="str">
        <f>"3398"</f>
        <v>3398</v>
      </c>
      <c r="E2127" t="s">
        <v>824</v>
      </c>
    </row>
    <row r="2128" spans="1:5" x14ac:dyDescent="0.25">
      <c r="A2128" t="str">
        <f t="shared" si="103"/>
        <v>27010</v>
      </c>
      <c r="B2128" t="s">
        <v>3059</v>
      </c>
      <c r="C2128" t="s">
        <v>3101</v>
      </c>
      <c r="D2128" t="str">
        <f>"2247"</f>
        <v>2247</v>
      </c>
      <c r="E2128" t="s">
        <v>818</v>
      </c>
    </row>
    <row r="2129" spans="1:5" x14ac:dyDescent="0.25">
      <c r="A2129" t="str">
        <f t="shared" si="103"/>
        <v>27010</v>
      </c>
      <c r="B2129" t="s">
        <v>3059</v>
      </c>
      <c r="C2129" t="s">
        <v>3102</v>
      </c>
      <c r="D2129" t="str">
        <f>"4109"</f>
        <v>4109</v>
      </c>
      <c r="E2129" t="s">
        <v>824</v>
      </c>
    </row>
    <row r="2130" spans="1:5" x14ac:dyDescent="0.25">
      <c r="A2130" t="str">
        <f t="shared" si="103"/>
        <v>27010</v>
      </c>
      <c r="B2130" t="s">
        <v>3059</v>
      </c>
      <c r="C2130" t="s">
        <v>3103</v>
      </c>
      <c r="D2130" t="str">
        <f>"4283"</f>
        <v>4283</v>
      </c>
      <c r="E2130" t="s">
        <v>821</v>
      </c>
    </row>
    <row r="2131" spans="1:5" x14ac:dyDescent="0.25">
      <c r="A2131" t="str">
        <f t="shared" si="103"/>
        <v>27010</v>
      </c>
      <c r="B2131" t="s">
        <v>3059</v>
      </c>
      <c r="C2131" t="s">
        <v>3104</v>
      </c>
      <c r="D2131" t="str">
        <f>"2169"</f>
        <v>2169</v>
      </c>
      <c r="E2131" t="s">
        <v>818</v>
      </c>
    </row>
    <row r="2132" spans="1:5" x14ac:dyDescent="0.25">
      <c r="A2132" t="str">
        <f t="shared" si="103"/>
        <v>27010</v>
      </c>
      <c r="B2132" t="s">
        <v>3059</v>
      </c>
      <c r="C2132" t="s">
        <v>3105</v>
      </c>
      <c r="D2132" t="str">
        <f>"2806"</f>
        <v>2806</v>
      </c>
      <c r="E2132" t="s">
        <v>818</v>
      </c>
    </row>
    <row r="2133" spans="1:5" x14ac:dyDescent="0.25">
      <c r="A2133" t="str">
        <f t="shared" si="103"/>
        <v>27010</v>
      </c>
      <c r="B2133" t="s">
        <v>3059</v>
      </c>
      <c r="C2133" t="s">
        <v>3106</v>
      </c>
      <c r="D2133" t="str">
        <f>"2039"</f>
        <v>2039</v>
      </c>
      <c r="E2133" t="s">
        <v>821</v>
      </c>
    </row>
    <row r="2134" spans="1:5" x14ac:dyDescent="0.25">
      <c r="A2134" t="str">
        <f t="shared" si="103"/>
        <v>27010</v>
      </c>
      <c r="B2134" t="s">
        <v>3059</v>
      </c>
      <c r="C2134" t="s">
        <v>3107</v>
      </c>
      <c r="D2134" t="str">
        <f>"2275"</f>
        <v>2275</v>
      </c>
      <c r="E2134" t="s">
        <v>818</v>
      </c>
    </row>
    <row r="2135" spans="1:5" x14ac:dyDescent="0.25">
      <c r="A2135" t="str">
        <f t="shared" si="103"/>
        <v>27010</v>
      </c>
      <c r="B2135" t="s">
        <v>3059</v>
      </c>
      <c r="C2135" t="s">
        <v>3108</v>
      </c>
      <c r="D2135" t="str">
        <f>"5169"</f>
        <v>5169</v>
      </c>
      <c r="E2135" t="s">
        <v>824</v>
      </c>
    </row>
    <row r="2136" spans="1:5" x14ac:dyDescent="0.25">
      <c r="A2136" t="str">
        <f t="shared" si="103"/>
        <v>27010</v>
      </c>
      <c r="B2136" t="s">
        <v>3059</v>
      </c>
      <c r="C2136" t="s">
        <v>3109</v>
      </c>
      <c r="D2136" t="str">
        <f>"2168"</f>
        <v>2168</v>
      </c>
      <c r="E2136" t="s">
        <v>818</v>
      </c>
    </row>
    <row r="2137" spans="1:5" x14ac:dyDescent="0.25">
      <c r="A2137" t="str">
        <f t="shared" si="103"/>
        <v>27010</v>
      </c>
      <c r="B2137" t="s">
        <v>3059</v>
      </c>
      <c r="C2137" t="s">
        <v>3110</v>
      </c>
      <c r="D2137" t="str">
        <f>"2938"</f>
        <v>2938</v>
      </c>
      <c r="E2137" t="s">
        <v>818</v>
      </c>
    </row>
    <row r="2138" spans="1:5" x14ac:dyDescent="0.25">
      <c r="A2138" t="str">
        <f t="shared" si="103"/>
        <v>27010</v>
      </c>
      <c r="B2138" t="s">
        <v>3059</v>
      </c>
      <c r="C2138" t="s">
        <v>3111</v>
      </c>
      <c r="D2138" t="str">
        <f>"3498"</f>
        <v>3498</v>
      </c>
      <c r="E2138" t="s">
        <v>818</v>
      </c>
    </row>
    <row r="2139" spans="1:5" x14ac:dyDescent="0.25">
      <c r="A2139" t="str">
        <f t="shared" si="103"/>
        <v>27010</v>
      </c>
      <c r="B2139" t="s">
        <v>3059</v>
      </c>
      <c r="C2139" t="s">
        <v>1042</v>
      </c>
      <c r="D2139" t="str">
        <f>"5192"</f>
        <v>5192</v>
      </c>
      <c r="E2139" t="s">
        <v>851</v>
      </c>
    </row>
    <row r="2140" spans="1:5" x14ac:dyDescent="0.25">
      <c r="A2140" t="str">
        <f t="shared" si="103"/>
        <v>27010</v>
      </c>
      <c r="B2140" t="s">
        <v>3059</v>
      </c>
      <c r="C2140" t="s">
        <v>3112</v>
      </c>
      <c r="D2140" t="str">
        <f>"2084"</f>
        <v>2084</v>
      </c>
      <c r="E2140" t="s">
        <v>824</v>
      </c>
    </row>
    <row r="2141" spans="1:5" x14ac:dyDescent="0.25">
      <c r="A2141" t="str">
        <f t="shared" si="103"/>
        <v>27010</v>
      </c>
      <c r="B2141" t="s">
        <v>3059</v>
      </c>
      <c r="C2141" t="s">
        <v>3113</v>
      </c>
      <c r="D2141" t="str">
        <f>"2358"</f>
        <v>2358</v>
      </c>
      <c r="E2141" t="s">
        <v>818</v>
      </c>
    </row>
    <row r="2142" spans="1:5" x14ac:dyDescent="0.25">
      <c r="A2142" t="str">
        <f t="shared" si="103"/>
        <v>27010</v>
      </c>
      <c r="B2142" t="s">
        <v>3059</v>
      </c>
      <c r="C2142" t="s">
        <v>3114</v>
      </c>
      <c r="D2142" t="str">
        <f>"2359"</f>
        <v>2359</v>
      </c>
      <c r="E2142" t="s">
        <v>830</v>
      </c>
    </row>
    <row r="2143" spans="1:5" x14ac:dyDescent="0.25">
      <c r="A2143" t="str">
        <f t="shared" si="103"/>
        <v>27010</v>
      </c>
      <c r="B2143" t="s">
        <v>3059</v>
      </c>
      <c r="C2143" t="s">
        <v>3115</v>
      </c>
      <c r="D2143" t="str">
        <f>"5183"</f>
        <v>5183</v>
      </c>
      <c r="E2143" t="s">
        <v>824</v>
      </c>
    </row>
    <row r="2144" spans="1:5" x14ac:dyDescent="0.25">
      <c r="A2144" t="str">
        <f t="shared" si="103"/>
        <v>27010</v>
      </c>
      <c r="B2144" t="s">
        <v>3059</v>
      </c>
      <c r="C2144" t="s">
        <v>3116</v>
      </c>
      <c r="D2144" t="str">
        <f>"5184"</f>
        <v>5184</v>
      </c>
      <c r="E2144" t="s">
        <v>824</v>
      </c>
    </row>
    <row r="2145" spans="1:5" x14ac:dyDescent="0.25">
      <c r="A2145" t="str">
        <f t="shared" si="103"/>
        <v>27010</v>
      </c>
      <c r="B2145" t="s">
        <v>3059</v>
      </c>
      <c r="C2145" t="s">
        <v>3117</v>
      </c>
      <c r="D2145" t="str">
        <f>"1860"</f>
        <v>1860</v>
      </c>
      <c r="E2145" t="s">
        <v>824</v>
      </c>
    </row>
    <row r="2146" spans="1:5" x14ac:dyDescent="0.25">
      <c r="A2146" t="str">
        <f t="shared" si="103"/>
        <v>27010</v>
      </c>
      <c r="B2146" t="s">
        <v>3059</v>
      </c>
      <c r="C2146" t="s">
        <v>3118</v>
      </c>
      <c r="D2146" t="str">
        <f>"1816"</f>
        <v>1816</v>
      </c>
      <c r="E2146" t="s">
        <v>824</v>
      </c>
    </row>
    <row r="2147" spans="1:5" x14ac:dyDescent="0.25">
      <c r="A2147" t="str">
        <f t="shared" si="103"/>
        <v>27010</v>
      </c>
      <c r="B2147" t="s">
        <v>3059</v>
      </c>
      <c r="C2147" t="s">
        <v>3119</v>
      </c>
      <c r="D2147" t="str">
        <f>"3448"</f>
        <v>3448</v>
      </c>
      <c r="E2147" t="s">
        <v>830</v>
      </c>
    </row>
    <row r="2148" spans="1:5" x14ac:dyDescent="0.25">
      <c r="A2148" t="str">
        <f t="shared" si="103"/>
        <v>27010</v>
      </c>
      <c r="B2148" t="s">
        <v>3059</v>
      </c>
      <c r="C2148" t="s">
        <v>3120</v>
      </c>
      <c r="D2148" t="str">
        <f>"3116"</f>
        <v>3116</v>
      </c>
      <c r="E2148" t="s">
        <v>818</v>
      </c>
    </row>
    <row r="2149" spans="1:5" x14ac:dyDescent="0.25">
      <c r="A2149" t="str">
        <f t="shared" si="103"/>
        <v>27010</v>
      </c>
      <c r="B2149" t="s">
        <v>3059</v>
      </c>
      <c r="C2149" t="s">
        <v>3056</v>
      </c>
      <c r="D2149" t="str">
        <f>"2083"</f>
        <v>2083</v>
      </c>
      <c r="E2149" t="s">
        <v>818</v>
      </c>
    </row>
    <row r="2150" spans="1:5" x14ac:dyDescent="0.25">
      <c r="A2150" t="str">
        <f t="shared" si="103"/>
        <v>27010</v>
      </c>
      <c r="B2150" t="s">
        <v>3059</v>
      </c>
      <c r="C2150" t="s">
        <v>3121</v>
      </c>
      <c r="D2150" t="str">
        <f>"2874"</f>
        <v>2874</v>
      </c>
      <c r="E2150" t="s">
        <v>818</v>
      </c>
    </row>
    <row r="2151" spans="1:5" x14ac:dyDescent="0.25">
      <c r="A2151" t="str">
        <f t="shared" si="103"/>
        <v>27010</v>
      </c>
      <c r="B2151" t="s">
        <v>3059</v>
      </c>
      <c r="C2151" t="s">
        <v>3122</v>
      </c>
      <c r="D2151" t="str">
        <f>"3452"</f>
        <v>3452</v>
      </c>
      <c r="E2151" t="s">
        <v>818</v>
      </c>
    </row>
    <row r="2152" spans="1:5" x14ac:dyDescent="0.25">
      <c r="A2152" t="str">
        <f t="shared" si="103"/>
        <v>27010</v>
      </c>
      <c r="B2152" t="s">
        <v>3059</v>
      </c>
      <c r="C2152" t="s">
        <v>3123</v>
      </c>
      <c r="D2152" t="str">
        <f>"3246"</f>
        <v>3246</v>
      </c>
      <c r="E2152" t="s">
        <v>824</v>
      </c>
    </row>
    <row r="2153" spans="1:5" x14ac:dyDescent="0.25">
      <c r="A2153" t="str">
        <f>"14077"</f>
        <v>14077</v>
      </c>
      <c r="B2153" t="s">
        <v>3124</v>
      </c>
      <c r="C2153" t="s">
        <v>3125</v>
      </c>
      <c r="D2153" t="str">
        <f>"5032"</f>
        <v>5032</v>
      </c>
      <c r="E2153" t="s">
        <v>821</v>
      </c>
    </row>
    <row r="2154" spans="1:5" x14ac:dyDescent="0.25">
      <c r="A2154" t="str">
        <f>"14077"</f>
        <v>14077</v>
      </c>
      <c r="B2154" t="s">
        <v>3124</v>
      </c>
      <c r="C2154" t="s">
        <v>3126</v>
      </c>
      <c r="D2154" t="str">
        <f>"3580"</f>
        <v>3580</v>
      </c>
      <c r="E2154" t="s">
        <v>824</v>
      </c>
    </row>
    <row r="2155" spans="1:5" x14ac:dyDescent="0.25">
      <c r="A2155" t="str">
        <f t="shared" ref="A2155:A2163" si="104">"17409"</f>
        <v>17409</v>
      </c>
      <c r="B2155" t="s">
        <v>3127</v>
      </c>
      <c r="C2155" t="s">
        <v>3128</v>
      </c>
      <c r="D2155" t="str">
        <f>"5489"</f>
        <v>5489</v>
      </c>
      <c r="E2155" t="s">
        <v>818</v>
      </c>
    </row>
    <row r="2156" spans="1:5" x14ac:dyDescent="0.25">
      <c r="A2156" t="str">
        <f t="shared" si="104"/>
        <v>17409</v>
      </c>
      <c r="B2156" t="s">
        <v>3127</v>
      </c>
      <c r="C2156" t="s">
        <v>3129</v>
      </c>
      <c r="D2156" t="str">
        <f>"4453"</f>
        <v>4453</v>
      </c>
      <c r="E2156" t="s">
        <v>818</v>
      </c>
    </row>
    <row r="2157" spans="1:5" x14ac:dyDescent="0.25">
      <c r="A2157" t="str">
        <f t="shared" si="104"/>
        <v>17409</v>
      </c>
      <c r="B2157" t="s">
        <v>3127</v>
      </c>
      <c r="C2157" t="s">
        <v>3130</v>
      </c>
      <c r="D2157" t="str">
        <f>"3286"</f>
        <v>3286</v>
      </c>
      <c r="E2157" t="s">
        <v>818</v>
      </c>
    </row>
    <row r="2158" spans="1:5" x14ac:dyDescent="0.25">
      <c r="A2158" t="str">
        <f t="shared" si="104"/>
        <v>17409</v>
      </c>
      <c r="B2158" t="s">
        <v>3127</v>
      </c>
      <c r="C2158" t="s">
        <v>3131</v>
      </c>
      <c r="D2158" t="str">
        <f>"3937"</f>
        <v>3937</v>
      </c>
      <c r="E2158" t="s">
        <v>830</v>
      </c>
    </row>
    <row r="2159" spans="1:5" x14ac:dyDescent="0.25">
      <c r="A2159" t="str">
        <f t="shared" si="104"/>
        <v>17409</v>
      </c>
      <c r="B2159" t="s">
        <v>3127</v>
      </c>
      <c r="C2159" t="s">
        <v>3132</v>
      </c>
      <c r="D2159" t="str">
        <f>"4415"</f>
        <v>4415</v>
      </c>
      <c r="E2159" t="s">
        <v>818</v>
      </c>
    </row>
    <row r="2160" spans="1:5" x14ac:dyDescent="0.25">
      <c r="A2160" t="str">
        <f t="shared" si="104"/>
        <v>17409</v>
      </c>
      <c r="B2160" t="s">
        <v>3127</v>
      </c>
      <c r="C2160" t="s">
        <v>3133</v>
      </c>
      <c r="D2160" t="str">
        <f>"3589"</f>
        <v>3589</v>
      </c>
      <c r="E2160" t="s">
        <v>818</v>
      </c>
    </row>
    <row r="2161" spans="1:5" x14ac:dyDescent="0.25">
      <c r="A2161" t="str">
        <f t="shared" si="104"/>
        <v>17409</v>
      </c>
      <c r="B2161" t="s">
        <v>3127</v>
      </c>
      <c r="C2161" t="s">
        <v>3134</v>
      </c>
      <c r="D2161" t="str">
        <f>"3341"</f>
        <v>3341</v>
      </c>
      <c r="E2161" t="s">
        <v>830</v>
      </c>
    </row>
    <row r="2162" spans="1:5" x14ac:dyDescent="0.25">
      <c r="A2162" t="str">
        <f t="shared" si="104"/>
        <v>17409</v>
      </c>
      <c r="B2162" t="s">
        <v>3127</v>
      </c>
      <c r="C2162" t="s">
        <v>3135</v>
      </c>
      <c r="D2162" t="str">
        <f>"5490"</f>
        <v>5490</v>
      </c>
      <c r="E2162" t="s">
        <v>818</v>
      </c>
    </row>
    <row r="2163" spans="1:5" x14ac:dyDescent="0.25">
      <c r="A2163" t="str">
        <f t="shared" si="104"/>
        <v>17409</v>
      </c>
      <c r="B2163" t="s">
        <v>3127</v>
      </c>
      <c r="C2163" t="s">
        <v>3136</v>
      </c>
      <c r="D2163" t="str">
        <f>"2849"</f>
        <v>2849</v>
      </c>
      <c r="E2163" t="s">
        <v>824</v>
      </c>
    </row>
    <row r="2164" spans="1:5" x14ac:dyDescent="0.25">
      <c r="A2164" t="str">
        <f>"38265"</f>
        <v>38265</v>
      </c>
      <c r="B2164" t="s">
        <v>3137</v>
      </c>
      <c r="C2164" t="s">
        <v>3138</v>
      </c>
      <c r="D2164" t="str">
        <f>"2052"</f>
        <v>2052</v>
      </c>
      <c r="E2164" t="s">
        <v>818</v>
      </c>
    </row>
    <row r="2165" spans="1:5" x14ac:dyDescent="0.25">
      <c r="A2165" t="str">
        <f>"38265"</f>
        <v>38265</v>
      </c>
      <c r="B2165" t="s">
        <v>3137</v>
      </c>
      <c r="C2165" t="s">
        <v>3139</v>
      </c>
      <c r="D2165" t="str">
        <f>"3418"</f>
        <v>3418</v>
      </c>
      <c r="E2165" t="s">
        <v>821</v>
      </c>
    </row>
    <row r="2166" spans="1:5" x14ac:dyDescent="0.25">
      <c r="A2166" t="str">
        <f>"34402"</f>
        <v>34402</v>
      </c>
      <c r="B2166" t="s">
        <v>3140</v>
      </c>
      <c r="C2166" t="s">
        <v>1708</v>
      </c>
      <c r="D2166" t="str">
        <f>"2457"</f>
        <v>2457</v>
      </c>
      <c r="E2166" t="s">
        <v>818</v>
      </c>
    </row>
    <row r="2167" spans="1:5" x14ac:dyDescent="0.25">
      <c r="A2167" t="str">
        <f>"34402"</f>
        <v>34402</v>
      </c>
      <c r="B2167" t="s">
        <v>3140</v>
      </c>
      <c r="C2167" t="s">
        <v>3141</v>
      </c>
      <c r="D2167" t="str">
        <f>"4238"</f>
        <v>4238</v>
      </c>
      <c r="E2167" t="s">
        <v>818</v>
      </c>
    </row>
    <row r="2168" spans="1:5" x14ac:dyDescent="0.25">
      <c r="A2168" t="str">
        <f>"34402"</f>
        <v>34402</v>
      </c>
      <c r="B2168" t="s">
        <v>3140</v>
      </c>
      <c r="C2168" t="s">
        <v>3142</v>
      </c>
      <c r="D2168" t="str">
        <f>"3509"</f>
        <v>3509</v>
      </c>
      <c r="E2168" t="s">
        <v>824</v>
      </c>
    </row>
    <row r="2169" spans="1:5" x14ac:dyDescent="0.25">
      <c r="A2169" t="str">
        <f>"34402"</f>
        <v>34402</v>
      </c>
      <c r="B2169" t="s">
        <v>3140</v>
      </c>
      <c r="C2169" t="s">
        <v>3143</v>
      </c>
      <c r="D2169" t="str">
        <f>"3795"</f>
        <v>3795</v>
      </c>
      <c r="E2169" t="s">
        <v>830</v>
      </c>
    </row>
    <row r="2170" spans="1:5" x14ac:dyDescent="0.25">
      <c r="A2170" t="str">
        <f>"19400"</f>
        <v>19400</v>
      </c>
      <c r="B2170" t="s">
        <v>3144</v>
      </c>
      <c r="C2170" t="s">
        <v>3145</v>
      </c>
      <c r="D2170" t="str">
        <f>"2514"</f>
        <v>2514</v>
      </c>
      <c r="E2170" t="s">
        <v>859</v>
      </c>
    </row>
    <row r="2171" spans="1:5" x14ac:dyDescent="0.25">
      <c r="A2171" t="str">
        <f>"21237"</f>
        <v>21237</v>
      </c>
      <c r="B2171" t="s">
        <v>3146</v>
      </c>
      <c r="C2171" t="s">
        <v>3147</v>
      </c>
      <c r="D2171" t="str">
        <f>"5190"</f>
        <v>5190</v>
      </c>
      <c r="E2171" t="s">
        <v>821</v>
      </c>
    </row>
    <row r="2172" spans="1:5" x14ac:dyDescent="0.25">
      <c r="A2172" t="str">
        <f>"21237"</f>
        <v>21237</v>
      </c>
      <c r="B2172" t="s">
        <v>3146</v>
      </c>
      <c r="C2172" t="s">
        <v>3148</v>
      </c>
      <c r="D2172" t="str">
        <f>"2998"</f>
        <v>2998</v>
      </c>
      <c r="E2172" t="s">
        <v>818</v>
      </c>
    </row>
    <row r="2173" spans="1:5" x14ac:dyDescent="0.25">
      <c r="A2173" t="str">
        <f>"21237"</f>
        <v>21237</v>
      </c>
      <c r="B2173" t="s">
        <v>3146</v>
      </c>
      <c r="C2173" t="s">
        <v>3149</v>
      </c>
      <c r="D2173" t="str">
        <f>"2616"</f>
        <v>2616</v>
      </c>
      <c r="E2173" t="s">
        <v>824</v>
      </c>
    </row>
    <row r="2174" spans="1:5" x14ac:dyDescent="0.25">
      <c r="A2174" t="str">
        <f>"21237"</f>
        <v>21237</v>
      </c>
      <c r="B2174" t="s">
        <v>3146</v>
      </c>
      <c r="C2174" t="s">
        <v>3150</v>
      </c>
      <c r="D2174" t="str">
        <f>"3977"</f>
        <v>3977</v>
      </c>
      <c r="E2174" t="s">
        <v>830</v>
      </c>
    </row>
    <row r="2175" spans="1:5" x14ac:dyDescent="0.25">
      <c r="A2175" t="str">
        <f>"24404"</f>
        <v>24404</v>
      </c>
      <c r="B2175" t="s">
        <v>3151</v>
      </c>
      <c r="C2175" t="s">
        <v>3152</v>
      </c>
      <c r="D2175" t="str">
        <f>"3176"</f>
        <v>3176</v>
      </c>
      <c r="E2175" t="s">
        <v>818</v>
      </c>
    </row>
    <row r="2176" spans="1:5" x14ac:dyDescent="0.25">
      <c r="A2176" t="str">
        <f>"24404"</f>
        <v>24404</v>
      </c>
      <c r="B2176" t="s">
        <v>3151</v>
      </c>
      <c r="C2176" t="s">
        <v>3153</v>
      </c>
      <c r="D2176" t="str">
        <f>"2679"</f>
        <v>2679</v>
      </c>
      <c r="E2176" t="s">
        <v>824</v>
      </c>
    </row>
    <row r="2177" spans="1:5" x14ac:dyDescent="0.25">
      <c r="A2177" t="str">
        <f>"24404"</f>
        <v>24404</v>
      </c>
      <c r="B2177" t="s">
        <v>3151</v>
      </c>
      <c r="C2177" t="s">
        <v>3154</v>
      </c>
      <c r="D2177" t="str">
        <f>"4196"</f>
        <v>4196</v>
      </c>
      <c r="E2177" t="s">
        <v>830</v>
      </c>
    </row>
    <row r="2178" spans="1:5" x14ac:dyDescent="0.25">
      <c r="A2178" t="str">
        <f t="shared" ref="A2178:A2186" si="105">"39202"</f>
        <v>39202</v>
      </c>
      <c r="B2178" t="s">
        <v>3155</v>
      </c>
      <c r="C2178" t="s">
        <v>3156</v>
      </c>
      <c r="D2178" t="str">
        <f>"1508"</f>
        <v>1508</v>
      </c>
      <c r="E2178" t="s">
        <v>821</v>
      </c>
    </row>
    <row r="2179" spans="1:5" x14ac:dyDescent="0.25">
      <c r="A2179" t="str">
        <f t="shared" si="105"/>
        <v>39202</v>
      </c>
      <c r="B2179" t="s">
        <v>3155</v>
      </c>
      <c r="C2179" t="s">
        <v>1478</v>
      </c>
      <c r="D2179" t="str">
        <f>"2608"</f>
        <v>2608</v>
      </c>
      <c r="E2179" t="s">
        <v>818</v>
      </c>
    </row>
    <row r="2180" spans="1:5" x14ac:dyDescent="0.25">
      <c r="A2180" t="str">
        <f t="shared" si="105"/>
        <v>39202</v>
      </c>
      <c r="B2180" t="s">
        <v>3155</v>
      </c>
      <c r="C2180" t="s">
        <v>3157</v>
      </c>
      <c r="D2180" t="str">
        <f>"4106"</f>
        <v>4106</v>
      </c>
      <c r="E2180" t="s">
        <v>818</v>
      </c>
    </row>
    <row r="2181" spans="1:5" x14ac:dyDescent="0.25">
      <c r="A2181" t="str">
        <f t="shared" si="105"/>
        <v>39202</v>
      </c>
      <c r="B2181" t="s">
        <v>3155</v>
      </c>
      <c r="C2181" t="s">
        <v>1808</v>
      </c>
      <c r="D2181" t="str">
        <f>"2635"</f>
        <v>2635</v>
      </c>
      <c r="E2181" t="s">
        <v>818</v>
      </c>
    </row>
    <row r="2182" spans="1:5" x14ac:dyDescent="0.25">
      <c r="A2182" t="str">
        <f t="shared" si="105"/>
        <v>39202</v>
      </c>
      <c r="B2182" t="s">
        <v>3155</v>
      </c>
      <c r="C2182" t="s">
        <v>3158</v>
      </c>
      <c r="D2182" t="str">
        <f>"5262"</f>
        <v>5262</v>
      </c>
      <c r="E2182" t="s">
        <v>859</v>
      </c>
    </row>
    <row r="2183" spans="1:5" x14ac:dyDescent="0.25">
      <c r="A2183" t="str">
        <f t="shared" si="105"/>
        <v>39202</v>
      </c>
      <c r="B2183" t="s">
        <v>3155</v>
      </c>
      <c r="C2183" t="s">
        <v>3159</v>
      </c>
      <c r="D2183" t="str">
        <f>"2900"</f>
        <v>2900</v>
      </c>
      <c r="E2183" t="s">
        <v>824</v>
      </c>
    </row>
    <row r="2184" spans="1:5" x14ac:dyDescent="0.25">
      <c r="A2184" t="str">
        <f t="shared" si="105"/>
        <v>39202</v>
      </c>
      <c r="B2184" t="s">
        <v>3155</v>
      </c>
      <c r="C2184" t="s">
        <v>3160</v>
      </c>
      <c r="D2184" t="str">
        <f>"2264"</f>
        <v>2264</v>
      </c>
      <c r="E2184" t="s">
        <v>830</v>
      </c>
    </row>
    <row r="2185" spans="1:5" x14ac:dyDescent="0.25">
      <c r="A2185" t="str">
        <f t="shared" si="105"/>
        <v>39202</v>
      </c>
      <c r="B2185" t="s">
        <v>3155</v>
      </c>
      <c r="C2185" t="s">
        <v>3161</v>
      </c>
      <c r="D2185" t="str">
        <f>"1831"</f>
        <v>1831</v>
      </c>
      <c r="E2185" t="s">
        <v>826</v>
      </c>
    </row>
    <row r="2186" spans="1:5" x14ac:dyDescent="0.25">
      <c r="A2186" t="str">
        <f t="shared" si="105"/>
        <v>39202</v>
      </c>
      <c r="B2186" t="s">
        <v>3155</v>
      </c>
      <c r="C2186" t="s">
        <v>3162</v>
      </c>
      <c r="D2186" t="str">
        <f>"4588"</f>
        <v>4588</v>
      </c>
      <c r="E2186" t="s">
        <v>818</v>
      </c>
    </row>
    <row r="2187" spans="1:5" x14ac:dyDescent="0.25">
      <c r="A2187" t="str">
        <f>"36300"</f>
        <v>36300</v>
      </c>
      <c r="B2187" t="s">
        <v>3163</v>
      </c>
      <c r="C2187" t="s">
        <v>3164</v>
      </c>
      <c r="D2187" t="str">
        <f>"2160"</f>
        <v>2160</v>
      </c>
      <c r="E2187" t="s">
        <v>859</v>
      </c>
    </row>
    <row r="2188" spans="1:5" x14ac:dyDescent="0.25">
      <c r="A2188" t="str">
        <f>"08130"</f>
        <v>08130</v>
      </c>
      <c r="B2188" t="s">
        <v>3165</v>
      </c>
      <c r="C2188" t="s">
        <v>3166</v>
      </c>
      <c r="D2188" t="str">
        <f>"4264"</f>
        <v>4264</v>
      </c>
      <c r="E2188" t="s">
        <v>818</v>
      </c>
    </row>
    <row r="2189" spans="1:5" x14ac:dyDescent="0.25">
      <c r="A2189" t="str">
        <f>"08130"</f>
        <v>08130</v>
      </c>
      <c r="B2189" t="s">
        <v>3165</v>
      </c>
      <c r="C2189" t="s">
        <v>3167</v>
      </c>
      <c r="D2189" t="str">
        <f>"2560"</f>
        <v>2560</v>
      </c>
      <c r="E2189" t="s">
        <v>821</v>
      </c>
    </row>
    <row r="2190" spans="1:5" x14ac:dyDescent="0.25">
      <c r="A2190" t="str">
        <f>"20400"</f>
        <v>20400</v>
      </c>
      <c r="B2190" t="s">
        <v>3168</v>
      </c>
      <c r="C2190" t="s">
        <v>3169</v>
      </c>
      <c r="D2190" t="str">
        <f>"3062"</f>
        <v>3062</v>
      </c>
      <c r="E2190" t="s">
        <v>818</v>
      </c>
    </row>
    <row r="2191" spans="1:5" x14ac:dyDescent="0.25">
      <c r="A2191" t="str">
        <f>"20400"</f>
        <v>20400</v>
      </c>
      <c r="B2191" t="s">
        <v>3168</v>
      </c>
      <c r="C2191" t="s">
        <v>3170</v>
      </c>
      <c r="D2191" t="str">
        <f>"2676"</f>
        <v>2676</v>
      </c>
      <c r="E2191" t="s">
        <v>821</v>
      </c>
    </row>
    <row r="2192" spans="1:5" x14ac:dyDescent="0.25">
      <c r="A2192" t="str">
        <f t="shared" ref="A2192:A2199" si="106">"17406"</f>
        <v>17406</v>
      </c>
      <c r="B2192" t="s">
        <v>3171</v>
      </c>
      <c r="C2192" t="s">
        <v>2859</v>
      </c>
      <c r="D2192" t="str">
        <f>"3226"</f>
        <v>3226</v>
      </c>
      <c r="E2192" t="s">
        <v>818</v>
      </c>
    </row>
    <row r="2193" spans="1:5" x14ac:dyDescent="0.25">
      <c r="A2193" t="str">
        <f t="shared" si="106"/>
        <v>17406</v>
      </c>
      <c r="B2193" t="s">
        <v>3171</v>
      </c>
      <c r="C2193" t="s">
        <v>3172</v>
      </c>
      <c r="D2193" t="str">
        <f>"2848"</f>
        <v>2848</v>
      </c>
      <c r="E2193" t="s">
        <v>824</v>
      </c>
    </row>
    <row r="2194" spans="1:5" x14ac:dyDescent="0.25">
      <c r="A2194" t="str">
        <f t="shared" si="106"/>
        <v>17406</v>
      </c>
      <c r="B2194" t="s">
        <v>3171</v>
      </c>
      <c r="C2194" t="s">
        <v>3173</v>
      </c>
      <c r="D2194" t="str">
        <f>"5284"</f>
        <v>5284</v>
      </c>
      <c r="E2194" t="s">
        <v>824</v>
      </c>
    </row>
    <row r="2195" spans="1:5" x14ac:dyDescent="0.25">
      <c r="A2195" t="str">
        <f t="shared" si="106"/>
        <v>17406</v>
      </c>
      <c r="B2195" t="s">
        <v>3171</v>
      </c>
      <c r="C2195" t="s">
        <v>3174</v>
      </c>
      <c r="D2195" t="str">
        <f>"2564"</f>
        <v>2564</v>
      </c>
      <c r="E2195" t="s">
        <v>830</v>
      </c>
    </row>
    <row r="2196" spans="1:5" x14ac:dyDescent="0.25">
      <c r="A2196" t="str">
        <f t="shared" si="106"/>
        <v>17406</v>
      </c>
      <c r="B2196" t="s">
        <v>3171</v>
      </c>
      <c r="C2196" t="s">
        <v>3175</v>
      </c>
      <c r="D2196" t="str">
        <f>"3635"</f>
        <v>3635</v>
      </c>
      <c r="E2196" t="s">
        <v>818</v>
      </c>
    </row>
    <row r="2197" spans="1:5" x14ac:dyDescent="0.25">
      <c r="A2197" t="str">
        <f t="shared" si="106"/>
        <v>17406</v>
      </c>
      <c r="B2197" t="s">
        <v>3171</v>
      </c>
      <c r="C2197" t="s">
        <v>3176</v>
      </c>
      <c r="D2197" t="str">
        <f>"3488"</f>
        <v>3488</v>
      </c>
      <c r="E2197" t="s">
        <v>818</v>
      </c>
    </row>
    <row r="2198" spans="1:5" x14ac:dyDescent="0.25">
      <c r="A2198" t="str">
        <f t="shared" si="106"/>
        <v>17406</v>
      </c>
      <c r="B2198" t="s">
        <v>3171</v>
      </c>
      <c r="C2198" t="s">
        <v>3177</v>
      </c>
      <c r="D2198" t="str">
        <f>"5536"</f>
        <v>5536</v>
      </c>
      <c r="E2198" t="s">
        <v>821</v>
      </c>
    </row>
    <row r="2199" spans="1:5" x14ac:dyDescent="0.25">
      <c r="A2199" t="str">
        <f t="shared" si="106"/>
        <v>17406</v>
      </c>
      <c r="B2199" t="s">
        <v>3171</v>
      </c>
      <c r="C2199" t="s">
        <v>3178</v>
      </c>
      <c r="D2199" t="str">
        <f>"5315"</f>
        <v>5315</v>
      </c>
      <c r="E2199" t="s">
        <v>824</v>
      </c>
    </row>
    <row r="2200" spans="1:5" x14ac:dyDescent="0.25">
      <c r="A2200" t="str">
        <f t="shared" ref="A2200:A2213" si="107">"34033"</f>
        <v>34033</v>
      </c>
      <c r="B2200" t="s">
        <v>3179</v>
      </c>
      <c r="C2200" t="s">
        <v>3180</v>
      </c>
      <c r="D2200" t="str">
        <f>"4500"</f>
        <v>4500</v>
      </c>
      <c r="E2200" t="s">
        <v>824</v>
      </c>
    </row>
    <row r="2201" spans="1:5" x14ac:dyDescent="0.25">
      <c r="A2201" t="str">
        <f t="shared" si="107"/>
        <v>34033</v>
      </c>
      <c r="B2201" t="s">
        <v>3179</v>
      </c>
      <c r="C2201" t="s">
        <v>3181</v>
      </c>
      <c r="D2201" t="str">
        <f>"4205"</f>
        <v>4205</v>
      </c>
      <c r="E2201" t="s">
        <v>818</v>
      </c>
    </row>
    <row r="2202" spans="1:5" x14ac:dyDescent="0.25">
      <c r="A2202" t="str">
        <f t="shared" si="107"/>
        <v>34033</v>
      </c>
      <c r="B2202" t="s">
        <v>3179</v>
      </c>
      <c r="C2202" t="s">
        <v>3182</v>
      </c>
      <c r="D2202" t="str">
        <f>"4365"</f>
        <v>4365</v>
      </c>
      <c r="E2202" t="s">
        <v>818</v>
      </c>
    </row>
    <row r="2203" spans="1:5" x14ac:dyDescent="0.25">
      <c r="A2203" t="str">
        <f t="shared" si="107"/>
        <v>34033</v>
      </c>
      <c r="B2203" t="s">
        <v>3179</v>
      </c>
      <c r="C2203" t="s">
        <v>3183</v>
      </c>
      <c r="D2203" t="str">
        <f>"4452"</f>
        <v>4452</v>
      </c>
      <c r="E2203" t="s">
        <v>830</v>
      </c>
    </row>
    <row r="2204" spans="1:5" x14ac:dyDescent="0.25">
      <c r="A2204" t="str">
        <f t="shared" si="107"/>
        <v>34033</v>
      </c>
      <c r="B2204" t="s">
        <v>3179</v>
      </c>
      <c r="C2204" t="s">
        <v>3184</v>
      </c>
      <c r="D2204" t="str">
        <f>"2816"</f>
        <v>2816</v>
      </c>
      <c r="E2204" t="s">
        <v>818</v>
      </c>
    </row>
    <row r="2205" spans="1:5" x14ac:dyDescent="0.25">
      <c r="A2205" t="str">
        <f t="shared" si="107"/>
        <v>34033</v>
      </c>
      <c r="B2205" t="s">
        <v>3179</v>
      </c>
      <c r="C2205" t="s">
        <v>3185</v>
      </c>
      <c r="D2205" t="str">
        <f>"2552"</f>
        <v>2552</v>
      </c>
      <c r="E2205" t="s">
        <v>818</v>
      </c>
    </row>
    <row r="2206" spans="1:5" x14ac:dyDescent="0.25">
      <c r="A2206" t="str">
        <f t="shared" si="107"/>
        <v>34033</v>
      </c>
      <c r="B2206" t="s">
        <v>3179</v>
      </c>
      <c r="C2206" t="s">
        <v>3186</v>
      </c>
      <c r="D2206" t="str">
        <f>"5014"</f>
        <v>5014</v>
      </c>
      <c r="E2206" t="s">
        <v>824</v>
      </c>
    </row>
    <row r="2207" spans="1:5" x14ac:dyDescent="0.25">
      <c r="A2207" t="str">
        <f t="shared" si="107"/>
        <v>34033</v>
      </c>
      <c r="B2207" t="s">
        <v>3179</v>
      </c>
      <c r="C2207" t="s">
        <v>3187</v>
      </c>
      <c r="D2207" t="str">
        <f>"4225"</f>
        <v>4225</v>
      </c>
      <c r="E2207" t="s">
        <v>824</v>
      </c>
    </row>
    <row r="2208" spans="1:5" x14ac:dyDescent="0.25">
      <c r="A2208" t="str">
        <f t="shared" si="107"/>
        <v>34033</v>
      </c>
      <c r="B2208" t="s">
        <v>3179</v>
      </c>
      <c r="C2208" t="s">
        <v>3188</v>
      </c>
      <c r="D2208" t="str">
        <f>"3199"</f>
        <v>3199</v>
      </c>
      <c r="E2208" t="s">
        <v>818</v>
      </c>
    </row>
    <row r="2209" spans="1:5" x14ac:dyDescent="0.25">
      <c r="A2209" t="str">
        <f t="shared" si="107"/>
        <v>34033</v>
      </c>
      <c r="B2209" t="s">
        <v>3179</v>
      </c>
      <c r="C2209" t="s">
        <v>3189</v>
      </c>
      <c r="D2209" t="str">
        <f>"1713"</f>
        <v>1713</v>
      </c>
      <c r="E2209" t="s">
        <v>824</v>
      </c>
    </row>
    <row r="2210" spans="1:5" x14ac:dyDescent="0.25">
      <c r="A2210" t="str">
        <f t="shared" si="107"/>
        <v>34033</v>
      </c>
      <c r="B2210" t="s">
        <v>3179</v>
      </c>
      <c r="C2210" t="s">
        <v>3190</v>
      </c>
      <c r="D2210" t="str">
        <f>"3925"</f>
        <v>3925</v>
      </c>
      <c r="E2210" t="s">
        <v>821</v>
      </c>
    </row>
    <row r="2211" spans="1:5" x14ac:dyDescent="0.25">
      <c r="A2211" t="str">
        <f t="shared" si="107"/>
        <v>34033</v>
      </c>
      <c r="B2211" t="s">
        <v>3179</v>
      </c>
      <c r="C2211" t="s">
        <v>3191</v>
      </c>
      <c r="D2211" t="str">
        <f>"3362"</f>
        <v>3362</v>
      </c>
      <c r="E2211" t="s">
        <v>824</v>
      </c>
    </row>
    <row r="2212" spans="1:5" x14ac:dyDescent="0.25">
      <c r="A2212" t="str">
        <f t="shared" si="107"/>
        <v>34033</v>
      </c>
      <c r="B2212" t="s">
        <v>3179</v>
      </c>
      <c r="C2212" t="s">
        <v>3192</v>
      </c>
      <c r="D2212" t="str">
        <f>"4373"</f>
        <v>4373</v>
      </c>
      <c r="E2212" t="s">
        <v>818</v>
      </c>
    </row>
    <row r="2213" spans="1:5" x14ac:dyDescent="0.25">
      <c r="A2213" t="str">
        <f t="shared" si="107"/>
        <v>34033</v>
      </c>
      <c r="B2213" t="s">
        <v>3179</v>
      </c>
      <c r="C2213" t="s">
        <v>3193</v>
      </c>
      <c r="D2213" t="str">
        <f>"3612"</f>
        <v>3612</v>
      </c>
      <c r="E2213" t="s">
        <v>830</v>
      </c>
    </row>
    <row r="2214" spans="1:5" x14ac:dyDescent="0.25">
      <c r="A2214" t="str">
        <f>"39002"</f>
        <v>39002</v>
      </c>
      <c r="B2214" t="s">
        <v>3194</v>
      </c>
      <c r="C2214" t="s">
        <v>3195</v>
      </c>
      <c r="D2214" t="str">
        <f>"2714"</f>
        <v>2714</v>
      </c>
      <c r="E2214" t="s">
        <v>821</v>
      </c>
    </row>
    <row r="2215" spans="1:5" x14ac:dyDescent="0.25">
      <c r="A2215" t="str">
        <f t="shared" ref="A2215:A2223" si="108">"27083"</f>
        <v>27083</v>
      </c>
      <c r="B2215" t="s">
        <v>3196</v>
      </c>
      <c r="C2215" t="s">
        <v>3197</v>
      </c>
      <c r="D2215" t="str">
        <f>"3792"</f>
        <v>3792</v>
      </c>
      <c r="E2215" t="s">
        <v>818</v>
      </c>
    </row>
    <row r="2216" spans="1:5" x14ac:dyDescent="0.25">
      <c r="A2216" t="str">
        <f t="shared" si="108"/>
        <v>27083</v>
      </c>
      <c r="B2216" t="s">
        <v>3196</v>
      </c>
      <c r="C2216" t="s">
        <v>3198</v>
      </c>
      <c r="D2216" t="str">
        <f>"5353"</f>
        <v>5353</v>
      </c>
      <c r="E2216" t="s">
        <v>824</v>
      </c>
    </row>
    <row r="2217" spans="1:5" x14ac:dyDescent="0.25">
      <c r="A2217" t="str">
        <f t="shared" si="108"/>
        <v>27083</v>
      </c>
      <c r="B2217" t="s">
        <v>3196</v>
      </c>
      <c r="C2217" t="s">
        <v>3199</v>
      </c>
      <c r="D2217" t="str">
        <f>"3179"</f>
        <v>3179</v>
      </c>
      <c r="E2217" t="s">
        <v>824</v>
      </c>
    </row>
    <row r="2218" spans="1:5" x14ac:dyDescent="0.25">
      <c r="A2218" t="str">
        <f t="shared" si="108"/>
        <v>27083</v>
      </c>
      <c r="B2218" t="s">
        <v>3196</v>
      </c>
      <c r="C2218" t="s">
        <v>3200</v>
      </c>
      <c r="D2218" t="str">
        <f>"3600"</f>
        <v>3600</v>
      </c>
      <c r="E2218" t="s">
        <v>824</v>
      </c>
    </row>
    <row r="2219" spans="1:5" x14ac:dyDescent="0.25">
      <c r="A2219" t="str">
        <f t="shared" si="108"/>
        <v>27083</v>
      </c>
      <c r="B2219" t="s">
        <v>3196</v>
      </c>
      <c r="C2219" t="s">
        <v>3201</v>
      </c>
      <c r="D2219" t="str">
        <f>"4325"</f>
        <v>4325</v>
      </c>
      <c r="E2219" t="s">
        <v>830</v>
      </c>
    </row>
    <row r="2220" spans="1:5" x14ac:dyDescent="0.25">
      <c r="A2220" t="str">
        <f t="shared" si="108"/>
        <v>27083</v>
      </c>
      <c r="B2220" t="s">
        <v>3196</v>
      </c>
      <c r="C2220" t="s">
        <v>3202</v>
      </c>
      <c r="D2220" t="str">
        <f>"4447"</f>
        <v>4447</v>
      </c>
      <c r="E2220" t="s">
        <v>818</v>
      </c>
    </row>
    <row r="2221" spans="1:5" x14ac:dyDescent="0.25">
      <c r="A2221" t="str">
        <f t="shared" si="108"/>
        <v>27083</v>
      </c>
      <c r="B2221" t="s">
        <v>3196</v>
      </c>
      <c r="C2221" t="s">
        <v>3203</v>
      </c>
      <c r="D2221" t="str">
        <f>"3296"</f>
        <v>3296</v>
      </c>
      <c r="E2221" t="s">
        <v>830</v>
      </c>
    </row>
    <row r="2222" spans="1:5" x14ac:dyDescent="0.25">
      <c r="A2222" t="str">
        <f t="shared" si="108"/>
        <v>27083</v>
      </c>
      <c r="B2222" t="s">
        <v>3196</v>
      </c>
      <c r="C2222" t="s">
        <v>3204</v>
      </c>
      <c r="D2222" t="str">
        <f>"3601"</f>
        <v>3601</v>
      </c>
      <c r="E2222" t="s">
        <v>818</v>
      </c>
    </row>
    <row r="2223" spans="1:5" x14ac:dyDescent="0.25">
      <c r="A2223" t="str">
        <f t="shared" si="108"/>
        <v>27083</v>
      </c>
      <c r="B2223" t="s">
        <v>3196</v>
      </c>
      <c r="C2223" t="s">
        <v>3205</v>
      </c>
      <c r="D2223" t="str">
        <f>"2223"</f>
        <v>2223</v>
      </c>
      <c r="E2223" t="s">
        <v>818</v>
      </c>
    </row>
    <row r="2224" spans="1:5" x14ac:dyDescent="0.25">
      <c r="A2224" t="str">
        <f>"33070"</f>
        <v>33070</v>
      </c>
      <c r="B2224" t="s">
        <v>3206</v>
      </c>
      <c r="C2224" t="s">
        <v>3207</v>
      </c>
      <c r="D2224" t="str">
        <f>"1932"</f>
        <v>1932</v>
      </c>
      <c r="E2224" t="s">
        <v>859</v>
      </c>
    </row>
    <row r="2225" spans="1:5" x14ac:dyDescent="0.25">
      <c r="A2225" t="str">
        <f>"33070"</f>
        <v>33070</v>
      </c>
      <c r="B2225" t="s">
        <v>3206</v>
      </c>
      <c r="C2225" t="s">
        <v>3208</v>
      </c>
      <c r="D2225" t="str">
        <f>"5223"</f>
        <v>5223</v>
      </c>
      <c r="E2225" t="s">
        <v>824</v>
      </c>
    </row>
    <row r="2226" spans="1:5" x14ac:dyDescent="0.25">
      <c r="A2226" t="str">
        <f>"33070"</f>
        <v>33070</v>
      </c>
      <c r="B2226" t="s">
        <v>3206</v>
      </c>
      <c r="C2226" t="s">
        <v>3209</v>
      </c>
      <c r="D2226" t="str">
        <f>"5357"</f>
        <v>5357</v>
      </c>
      <c r="E2226" t="s">
        <v>826</v>
      </c>
    </row>
    <row r="2227" spans="1:5" x14ac:dyDescent="0.25">
      <c r="A2227" t="str">
        <f>"33070"</f>
        <v>33070</v>
      </c>
      <c r="B2227" t="s">
        <v>3206</v>
      </c>
      <c r="C2227" t="s">
        <v>3210</v>
      </c>
      <c r="D2227" t="str">
        <f>"2405"</f>
        <v>2405</v>
      </c>
      <c r="E2227" t="s">
        <v>821</v>
      </c>
    </row>
    <row r="2228" spans="1:5" x14ac:dyDescent="0.25">
      <c r="A2228" t="str">
        <f t="shared" ref="A2228:A2268" si="109">"06037"</f>
        <v>06037</v>
      </c>
      <c r="B2228" t="s">
        <v>3211</v>
      </c>
      <c r="C2228" t="s">
        <v>3212</v>
      </c>
      <c r="D2228" t="str">
        <f>"4406"</f>
        <v>4406</v>
      </c>
      <c r="E2228" t="s">
        <v>830</v>
      </c>
    </row>
    <row r="2229" spans="1:5" x14ac:dyDescent="0.25">
      <c r="A2229" t="str">
        <f t="shared" si="109"/>
        <v>06037</v>
      </c>
      <c r="B2229" t="s">
        <v>3211</v>
      </c>
      <c r="C2229" t="s">
        <v>3213</v>
      </c>
      <c r="D2229" t="str">
        <f>"3080"</f>
        <v>3080</v>
      </c>
      <c r="E2229" t="s">
        <v>818</v>
      </c>
    </row>
    <row r="2230" spans="1:5" x14ac:dyDescent="0.25">
      <c r="A2230" t="str">
        <f t="shared" si="109"/>
        <v>06037</v>
      </c>
      <c r="B2230" t="s">
        <v>3211</v>
      </c>
      <c r="C2230" t="s">
        <v>872</v>
      </c>
      <c r="D2230" t="str">
        <f>"4405"</f>
        <v>4405</v>
      </c>
      <c r="E2230" t="s">
        <v>818</v>
      </c>
    </row>
    <row r="2231" spans="1:5" x14ac:dyDescent="0.25">
      <c r="A2231" t="str">
        <f t="shared" si="109"/>
        <v>06037</v>
      </c>
      <c r="B2231" t="s">
        <v>3211</v>
      </c>
      <c r="C2231" t="s">
        <v>3214</v>
      </c>
      <c r="D2231" t="str">
        <f>"3423"</f>
        <v>3423</v>
      </c>
      <c r="E2231" t="s">
        <v>824</v>
      </c>
    </row>
    <row r="2232" spans="1:5" x14ac:dyDescent="0.25">
      <c r="A2232" t="str">
        <f t="shared" si="109"/>
        <v>06037</v>
      </c>
      <c r="B2232" t="s">
        <v>3211</v>
      </c>
      <c r="C2232" t="s">
        <v>3215</v>
      </c>
      <c r="D2232" t="str">
        <f>"4503"</f>
        <v>4503</v>
      </c>
      <c r="E2232" t="s">
        <v>830</v>
      </c>
    </row>
    <row r="2233" spans="1:5" x14ac:dyDescent="0.25">
      <c r="A2233" t="str">
        <f t="shared" si="109"/>
        <v>06037</v>
      </c>
      <c r="B2233" t="s">
        <v>3211</v>
      </c>
      <c r="C2233" t="s">
        <v>3216</v>
      </c>
      <c r="D2233" t="str">
        <f>"3733"</f>
        <v>3733</v>
      </c>
      <c r="E2233" t="s">
        <v>818</v>
      </c>
    </row>
    <row r="2234" spans="1:5" x14ac:dyDescent="0.25">
      <c r="A2234" t="str">
        <f t="shared" si="109"/>
        <v>06037</v>
      </c>
      <c r="B2234" t="s">
        <v>3211</v>
      </c>
      <c r="C2234" t="s">
        <v>3217</v>
      </c>
      <c r="D2234" t="str">
        <f>"2636"</f>
        <v>2636</v>
      </c>
      <c r="E2234" t="s">
        <v>826</v>
      </c>
    </row>
    <row r="2235" spans="1:5" x14ac:dyDescent="0.25">
      <c r="A2235" t="str">
        <f t="shared" si="109"/>
        <v>06037</v>
      </c>
      <c r="B2235" t="s">
        <v>3211</v>
      </c>
      <c r="C2235" t="s">
        <v>3218</v>
      </c>
      <c r="D2235" t="str">
        <f>"4075"</f>
        <v>4075</v>
      </c>
      <c r="E2235" t="s">
        <v>818</v>
      </c>
    </row>
    <row r="2236" spans="1:5" x14ac:dyDescent="0.25">
      <c r="A2236" t="str">
        <f t="shared" si="109"/>
        <v>06037</v>
      </c>
      <c r="B2236" t="s">
        <v>3211</v>
      </c>
      <c r="C2236" t="s">
        <v>3219</v>
      </c>
      <c r="D2236" t="str">
        <f>"1574"</f>
        <v>1574</v>
      </c>
      <c r="E2236" t="s">
        <v>821</v>
      </c>
    </row>
    <row r="2237" spans="1:5" x14ac:dyDescent="0.25">
      <c r="A2237" t="str">
        <f t="shared" si="109"/>
        <v>06037</v>
      </c>
      <c r="B2237" t="s">
        <v>3211</v>
      </c>
      <c r="C2237" t="s">
        <v>3220</v>
      </c>
      <c r="D2237" t="str">
        <f>"2179"</f>
        <v>2179</v>
      </c>
      <c r="E2237" t="s">
        <v>824</v>
      </c>
    </row>
    <row r="2238" spans="1:5" x14ac:dyDescent="0.25">
      <c r="A2238" t="str">
        <f t="shared" si="109"/>
        <v>06037</v>
      </c>
      <c r="B2238" t="s">
        <v>3211</v>
      </c>
      <c r="C2238" t="s">
        <v>3221</v>
      </c>
      <c r="D2238" t="str">
        <f>"2637"</f>
        <v>2637</v>
      </c>
      <c r="E2238" t="s">
        <v>818</v>
      </c>
    </row>
    <row r="2239" spans="1:5" x14ac:dyDescent="0.25">
      <c r="A2239" t="str">
        <f t="shared" si="109"/>
        <v>06037</v>
      </c>
      <c r="B2239" t="s">
        <v>3211</v>
      </c>
      <c r="C2239" t="s">
        <v>3222</v>
      </c>
      <c r="D2239" t="str">
        <f>"3902"</f>
        <v>3902</v>
      </c>
      <c r="E2239" t="s">
        <v>830</v>
      </c>
    </row>
    <row r="2240" spans="1:5" x14ac:dyDescent="0.25">
      <c r="A2240" t="str">
        <f t="shared" si="109"/>
        <v>06037</v>
      </c>
      <c r="B2240" t="s">
        <v>3211</v>
      </c>
      <c r="C2240" t="s">
        <v>3223</v>
      </c>
      <c r="D2240" t="str">
        <f>"1738"</f>
        <v>1738</v>
      </c>
      <c r="E2240" t="s">
        <v>824</v>
      </c>
    </row>
    <row r="2241" spans="1:5" x14ac:dyDescent="0.25">
      <c r="A2241" t="str">
        <f t="shared" si="109"/>
        <v>06037</v>
      </c>
      <c r="B2241" t="s">
        <v>3211</v>
      </c>
      <c r="C2241" t="s">
        <v>3224</v>
      </c>
      <c r="D2241" t="str">
        <f>"3424"</f>
        <v>3424</v>
      </c>
      <c r="E2241" t="s">
        <v>818</v>
      </c>
    </row>
    <row r="2242" spans="1:5" x14ac:dyDescent="0.25">
      <c r="A2242" t="str">
        <f t="shared" si="109"/>
        <v>06037</v>
      </c>
      <c r="B2242" t="s">
        <v>3211</v>
      </c>
      <c r="C2242" t="s">
        <v>3225</v>
      </c>
      <c r="D2242" t="str">
        <f>"2643"</f>
        <v>2643</v>
      </c>
      <c r="E2242" t="s">
        <v>818</v>
      </c>
    </row>
    <row r="2243" spans="1:5" x14ac:dyDescent="0.25">
      <c r="A2243" t="str">
        <f t="shared" si="109"/>
        <v>06037</v>
      </c>
      <c r="B2243" t="s">
        <v>3211</v>
      </c>
      <c r="C2243" t="s">
        <v>3226</v>
      </c>
      <c r="D2243" t="str">
        <f>"3735"</f>
        <v>3735</v>
      </c>
      <c r="E2243" t="s">
        <v>818</v>
      </c>
    </row>
    <row r="2244" spans="1:5" x14ac:dyDescent="0.25">
      <c r="A2244" t="str">
        <f t="shared" si="109"/>
        <v>06037</v>
      </c>
      <c r="B2244" t="s">
        <v>3211</v>
      </c>
      <c r="C2244" t="s">
        <v>3227</v>
      </c>
      <c r="D2244" t="str">
        <f>"2690"</f>
        <v>2690</v>
      </c>
      <c r="E2244" t="s">
        <v>818</v>
      </c>
    </row>
    <row r="2245" spans="1:5" x14ac:dyDescent="0.25">
      <c r="A2245" t="str">
        <f t="shared" si="109"/>
        <v>06037</v>
      </c>
      <c r="B2245" t="s">
        <v>3211</v>
      </c>
      <c r="C2245" t="s">
        <v>3228</v>
      </c>
      <c r="D2245" t="str">
        <f>"2610"</f>
        <v>2610</v>
      </c>
      <c r="E2245" t="s">
        <v>818</v>
      </c>
    </row>
    <row r="2246" spans="1:5" x14ac:dyDescent="0.25">
      <c r="A2246" t="str">
        <f t="shared" si="109"/>
        <v>06037</v>
      </c>
      <c r="B2246" t="s">
        <v>3211</v>
      </c>
      <c r="C2246" t="s">
        <v>3229</v>
      </c>
      <c r="D2246" t="str">
        <f>"3081"</f>
        <v>3081</v>
      </c>
      <c r="E2246" t="s">
        <v>824</v>
      </c>
    </row>
    <row r="2247" spans="1:5" x14ac:dyDescent="0.25">
      <c r="A2247" t="str">
        <f t="shared" si="109"/>
        <v>06037</v>
      </c>
      <c r="B2247" t="s">
        <v>3211</v>
      </c>
      <c r="C2247" t="s">
        <v>3230</v>
      </c>
      <c r="D2247" t="str">
        <f>"3543"</f>
        <v>3543</v>
      </c>
      <c r="E2247" t="s">
        <v>830</v>
      </c>
    </row>
    <row r="2248" spans="1:5" x14ac:dyDescent="0.25">
      <c r="A2248" t="str">
        <f t="shared" si="109"/>
        <v>06037</v>
      </c>
      <c r="B2248" t="s">
        <v>3211</v>
      </c>
      <c r="C2248" t="s">
        <v>2383</v>
      </c>
      <c r="D2248" t="str">
        <f>"4591"</f>
        <v>4591</v>
      </c>
      <c r="E2248" t="s">
        <v>830</v>
      </c>
    </row>
    <row r="2249" spans="1:5" x14ac:dyDescent="0.25">
      <c r="A2249" t="str">
        <f t="shared" si="109"/>
        <v>06037</v>
      </c>
      <c r="B2249" t="s">
        <v>3211</v>
      </c>
      <c r="C2249" t="s">
        <v>3231</v>
      </c>
      <c r="D2249" t="str">
        <f>"3017"</f>
        <v>3017</v>
      </c>
      <c r="E2249" t="s">
        <v>818</v>
      </c>
    </row>
    <row r="2250" spans="1:5" x14ac:dyDescent="0.25">
      <c r="A2250" t="str">
        <f t="shared" si="109"/>
        <v>06037</v>
      </c>
      <c r="B2250" t="s">
        <v>3211</v>
      </c>
      <c r="C2250" t="s">
        <v>3232</v>
      </c>
      <c r="D2250" t="str">
        <f>"3932"</f>
        <v>3932</v>
      </c>
      <c r="E2250" t="s">
        <v>824</v>
      </c>
    </row>
    <row r="2251" spans="1:5" x14ac:dyDescent="0.25">
      <c r="A2251" t="str">
        <f t="shared" si="109"/>
        <v>06037</v>
      </c>
      <c r="B2251" t="s">
        <v>3211</v>
      </c>
      <c r="C2251" t="s">
        <v>1808</v>
      </c>
      <c r="D2251" t="str">
        <f>"2318"</f>
        <v>2318</v>
      </c>
      <c r="E2251" t="s">
        <v>818</v>
      </c>
    </row>
    <row r="2252" spans="1:5" x14ac:dyDescent="0.25">
      <c r="A2252" t="str">
        <f t="shared" si="109"/>
        <v>06037</v>
      </c>
      <c r="B2252" t="s">
        <v>3211</v>
      </c>
      <c r="C2252" t="s">
        <v>3233</v>
      </c>
      <c r="D2252" t="str">
        <f>"3734"</f>
        <v>3734</v>
      </c>
      <c r="E2252" t="s">
        <v>818</v>
      </c>
    </row>
    <row r="2253" spans="1:5" x14ac:dyDescent="0.25">
      <c r="A2253" t="str">
        <f t="shared" si="109"/>
        <v>06037</v>
      </c>
      <c r="B2253" t="s">
        <v>3211</v>
      </c>
      <c r="C2253" t="s">
        <v>2462</v>
      </c>
      <c r="D2253" t="str">
        <f>"3146"</f>
        <v>3146</v>
      </c>
      <c r="E2253" t="s">
        <v>830</v>
      </c>
    </row>
    <row r="2254" spans="1:5" x14ac:dyDescent="0.25">
      <c r="A2254" t="str">
        <f t="shared" si="109"/>
        <v>06037</v>
      </c>
      <c r="B2254" t="s">
        <v>3211</v>
      </c>
      <c r="C2254" t="s">
        <v>3234</v>
      </c>
      <c r="D2254" t="str">
        <f>"2723"</f>
        <v>2723</v>
      </c>
      <c r="E2254" t="s">
        <v>818</v>
      </c>
    </row>
    <row r="2255" spans="1:5" x14ac:dyDescent="0.25">
      <c r="A2255" t="str">
        <f t="shared" si="109"/>
        <v>06037</v>
      </c>
      <c r="B2255" t="s">
        <v>3211</v>
      </c>
      <c r="C2255" t="s">
        <v>3235</v>
      </c>
      <c r="D2255" t="str">
        <f>"5342"</f>
        <v>5342</v>
      </c>
      <c r="E2255" t="s">
        <v>824</v>
      </c>
    </row>
    <row r="2256" spans="1:5" x14ac:dyDescent="0.25">
      <c r="A2256" t="str">
        <f t="shared" si="109"/>
        <v>06037</v>
      </c>
      <c r="B2256" t="s">
        <v>3211</v>
      </c>
      <c r="C2256" t="s">
        <v>3236</v>
      </c>
      <c r="D2256" t="str">
        <f>"2644"</f>
        <v>2644</v>
      </c>
      <c r="E2256" t="s">
        <v>818</v>
      </c>
    </row>
    <row r="2257" spans="1:5" x14ac:dyDescent="0.25">
      <c r="A2257" t="str">
        <f t="shared" si="109"/>
        <v>06037</v>
      </c>
      <c r="B2257" t="s">
        <v>3211</v>
      </c>
      <c r="C2257" t="s">
        <v>974</v>
      </c>
      <c r="D2257" t="str">
        <f>"4410"</f>
        <v>4410</v>
      </c>
      <c r="E2257" t="s">
        <v>818</v>
      </c>
    </row>
    <row r="2258" spans="1:5" x14ac:dyDescent="0.25">
      <c r="A2258" t="str">
        <f t="shared" si="109"/>
        <v>06037</v>
      </c>
      <c r="B2258" t="s">
        <v>3211</v>
      </c>
      <c r="C2258" t="s">
        <v>2774</v>
      </c>
      <c r="D2258" t="str">
        <f>"4034"</f>
        <v>4034</v>
      </c>
      <c r="E2258" t="s">
        <v>818</v>
      </c>
    </row>
    <row r="2259" spans="1:5" x14ac:dyDescent="0.25">
      <c r="A2259" t="str">
        <f t="shared" si="109"/>
        <v>06037</v>
      </c>
      <c r="B2259" t="s">
        <v>3211</v>
      </c>
      <c r="C2259" t="s">
        <v>3237</v>
      </c>
      <c r="D2259" t="str">
        <f>"2964"</f>
        <v>2964</v>
      </c>
      <c r="E2259" t="s">
        <v>818</v>
      </c>
    </row>
    <row r="2260" spans="1:5" x14ac:dyDescent="0.25">
      <c r="A2260" t="str">
        <f t="shared" si="109"/>
        <v>06037</v>
      </c>
      <c r="B2260" t="s">
        <v>3211</v>
      </c>
      <c r="C2260" t="s">
        <v>3238</v>
      </c>
      <c r="D2260" t="str">
        <f>"3016"</f>
        <v>3016</v>
      </c>
      <c r="E2260" t="s">
        <v>818</v>
      </c>
    </row>
    <row r="2261" spans="1:5" x14ac:dyDescent="0.25">
      <c r="A2261" t="str">
        <f t="shared" si="109"/>
        <v>06037</v>
      </c>
      <c r="B2261" t="s">
        <v>3211</v>
      </c>
      <c r="C2261" t="s">
        <v>3239</v>
      </c>
      <c r="D2261" t="str">
        <f>"4504"</f>
        <v>4504</v>
      </c>
      <c r="E2261" t="s">
        <v>824</v>
      </c>
    </row>
    <row r="2262" spans="1:5" x14ac:dyDescent="0.25">
      <c r="A2262" t="str">
        <f t="shared" si="109"/>
        <v>06037</v>
      </c>
      <c r="B2262" t="s">
        <v>3211</v>
      </c>
      <c r="C2262" t="s">
        <v>3240</v>
      </c>
      <c r="D2262" t="str">
        <f>"5258"</f>
        <v>5258</v>
      </c>
      <c r="E2262" t="s">
        <v>824</v>
      </c>
    </row>
    <row r="2263" spans="1:5" x14ac:dyDescent="0.25">
      <c r="A2263" t="str">
        <f t="shared" si="109"/>
        <v>06037</v>
      </c>
      <c r="B2263" t="s">
        <v>3211</v>
      </c>
      <c r="C2263" t="s">
        <v>3241</v>
      </c>
      <c r="D2263" t="str">
        <f>"3556"</f>
        <v>3556</v>
      </c>
      <c r="E2263" t="s">
        <v>859</v>
      </c>
    </row>
    <row r="2264" spans="1:5" x14ac:dyDescent="0.25">
      <c r="A2264" t="str">
        <f t="shared" si="109"/>
        <v>06037</v>
      </c>
      <c r="B2264" t="s">
        <v>3211</v>
      </c>
      <c r="C2264" t="s">
        <v>3242</v>
      </c>
      <c r="D2264" t="str">
        <f>"5271"</f>
        <v>5271</v>
      </c>
      <c r="E2264" t="s">
        <v>821</v>
      </c>
    </row>
    <row r="2265" spans="1:5" x14ac:dyDescent="0.25">
      <c r="A2265" t="str">
        <f t="shared" si="109"/>
        <v>06037</v>
      </c>
      <c r="B2265" t="s">
        <v>3211</v>
      </c>
      <c r="C2265" t="s">
        <v>3243</v>
      </c>
      <c r="D2265" t="str">
        <f>"1689"</f>
        <v>1689</v>
      </c>
      <c r="E2265" t="s">
        <v>821</v>
      </c>
    </row>
    <row r="2266" spans="1:5" x14ac:dyDescent="0.25">
      <c r="A2266" t="str">
        <f t="shared" si="109"/>
        <v>06037</v>
      </c>
      <c r="B2266" t="s">
        <v>3211</v>
      </c>
      <c r="C2266" t="s">
        <v>3244</v>
      </c>
      <c r="D2266" t="str">
        <f>"5149"</f>
        <v>5149</v>
      </c>
      <c r="E2266" t="s">
        <v>859</v>
      </c>
    </row>
    <row r="2267" spans="1:5" x14ac:dyDescent="0.25">
      <c r="A2267" t="str">
        <f t="shared" si="109"/>
        <v>06037</v>
      </c>
      <c r="B2267" t="s">
        <v>3211</v>
      </c>
      <c r="C2267" t="s">
        <v>3245</v>
      </c>
      <c r="D2267" t="str">
        <f>"2828"</f>
        <v>2828</v>
      </c>
      <c r="E2267" t="s">
        <v>818</v>
      </c>
    </row>
    <row r="2268" spans="1:5" x14ac:dyDescent="0.25">
      <c r="A2268" t="str">
        <f t="shared" si="109"/>
        <v>06037</v>
      </c>
      <c r="B2268" t="s">
        <v>3211</v>
      </c>
      <c r="C2268" t="s">
        <v>3056</v>
      </c>
      <c r="D2268" t="str">
        <f>"3565"</f>
        <v>3565</v>
      </c>
      <c r="E2268" t="s">
        <v>818</v>
      </c>
    </row>
    <row r="2269" spans="1:5" x14ac:dyDescent="0.25">
      <c r="A2269" t="str">
        <f>"17402"</f>
        <v>17402</v>
      </c>
      <c r="B2269" t="s">
        <v>3246</v>
      </c>
      <c r="C2269" t="s">
        <v>3247</v>
      </c>
      <c r="D2269" t="str">
        <f>"4468"</f>
        <v>4468</v>
      </c>
      <c r="E2269" t="s">
        <v>818</v>
      </c>
    </row>
    <row r="2270" spans="1:5" x14ac:dyDescent="0.25">
      <c r="A2270" t="str">
        <f>"17402"</f>
        <v>17402</v>
      </c>
      <c r="B2270" t="s">
        <v>3246</v>
      </c>
      <c r="C2270" t="s">
        <v>3248</v>
      </c>
      <c r="D2270" t="str">
        <f>"1822"</f>
        <v>1822</v>
      </c>
      <c r="E2270" t="s">
        <v>859</v>
      </c>
    </row>
    <row r="2271" spans="1:5" x14ac:dyDescent="0.25">
      <c r="A2271" t="str">
        <f>"17402"</f>
        <v>17402</v>
      </c>
      <c r="B2271" t="s">
        <v>3246</v>
      </c>
      <c r="C2271" t="s">
        <v>3249</v>
      </c>
      <c r="D2271" t="str">
        <f>"3667"</f>
        <v>3667</v>
      </c>
      <c r="E2271" t="s">
        <v>830</v>
      </c>
    </row>
    <row r="2272" spans="1:5" x14ac:dyDescent="0.25">
      <c r="A2272" t="str">
        <f>"17402"</f>
        <v>17402</v>
      </c>
      <c r="B2272" t="s">
        <v>3246</v>
      </c>
      <c r="C2272" t="s">
        <v>3250</v>
      </c>
      <c r="D2272" t="str">
        <f>"1938"</f>
        <v>1938</v>
      </c>
      <c r="E2272" t="s">
        <v>824</v>
      </c>
    </row>
    <row r="2273" spans="1:5" x14ac:dyDescent="0.25">
      <c r="A2273" t="str">
        <f>"17402"</f>
        <v>17402</v>
      </c>
      <c r="B2273" t="s">
        <v>3246</v>
      </c>
      <c r="C2273" t="s">
        <v>3251</v>
      </c>
      <c r="D2273" t="str">
        <f>"2419"</f>
        <v>2419</v>
      </c>
      <c r="E2273" t="s">
        <v>824</v>
      </c>
    </row>
    <row r="2274" spans="1:5" x14ac:dyDescent="0.25">
      <c r="A2274" t="str">
        <f>"34901"</f>
        <v>34901</v>
      </c>
      <c r="B2274" t="s">
        <v>3252</v>
      </c>
      <c r="C2274" t="s">
        <v>3253</v>
      </c>
      <c r="D2274" t="str">
        <f>"5496"</f>
        <v>5496</v>
      </c>
      <c r="E2274" t="s">
        <v>821</v>
      </c>
    </row>
    <row r="2275" spans="1:5" x14ac:dyDescent="0.25">
      <c r="A2275" t="str">
        <f>"34975"</f>
        <v>34975</v>
      </c>
      <c r="B2275" t="s">
        <v>3254</v>
      </c>
      <c r="C2275" t="s">
        <v>3255</v>
      </c>
      <c r="D2275" t="str">
        <f>"4246"</f>
        <v>4246</v>
      </c>
      <c r="E2275" t="s">
        <v>851</v>
      </c>
    </row>
    <row r="2276" spans="1:5" x14ac:dyDescent="0.25">
      <c r="A2276" t="str">
        <f>"35200"</f>
        <v>35200</v>
      </c>
      <c r="B2276" t="s">
        <v>3256</v>
      </c>
      <c r="C2276" t="s">
        <v>3257</v>
      </c>
      <c r="D2276" t="str">
        <f>"2893"</f>
        <v>2893</v>
      </c>
      <c r="E2276" t="s">
        <v>821</v>
      </c>
    </row>
    <row r="2277" spans="1:5" x14ac:dyDescent="0.25">
      <c r="A2277" t="str">
        <f>"35200"</f>
        <v>35200</v>
      </c>
      <c r="B2277" t="s">
        <v>3256</v>
      </c>
      <c r="C2277" t="s">
        <v>3258</v>
      </c>
      <c r="D2277" t="str">
        <f>"3467"</f>
        <v>3467</v>
      </c>
      <c r="E2277" t="s">
        <v>824</v>
      </c>
    </row>
    <row r="2278" spans="1:5" x14ac:dyDescent="0.25">
      <c r="A2278" t="str">
        <f t="shared" ref="A2278:A2285" si="110">"13073"</f>
        <v>13073</v>
      </c>
      <c r="B2278" t="s">
        <v>3259</v>
      </c>
      <c r="C2278" t="s">
        <v>3260</v>
      </c>
      <c r="D2278" t="str">
        <f>"1981"</f>
        <v>1981</v>
      </c>
      <c r="E2278" t="s">
        <v>826</v>
      </c>
    </row>
    <row r="2279" spans="1:5" x14ac:dyDescent="0.25">
      <c r="A2279" t="str">
        <f t="shared" si="110"/>
        <v>13073</v>
      </c>
      <c r="B2279" t="s">
        <v>3259</v>
      </c>
      <c r="C2279" t="s">
        <v>3261</v>
      </c>
      <c r="D2279" t="str">
        <f>"3152"</f>
        <v>3152</v>
      </c>
      <c r="E2279" t="s">
        <v>818</v>
      </c>
    </row>
    <row r="2280" spans="1:5" x14ac:dyDescent="0.25">
      <c r="A2280" t="str">
        <f t="shared" si="110"/>
        <v>13073</v>
      </c>
      <c r="B2280" t="s">
        <v>3259</v>
      </c>
      <c r="C2280" t="s">
        <v>3262</v>
      </c>
      <c r="D2280" t="str">
        <f>"5120"</f>
        <v>5120</v>
      </c>
      <c r="E2280" t="s">
        <v>826</v>
      </c>
    </row>
    <row r="2281" spans="1:5" x14ac:dyDescent="0.25">
      <c r="A2281" t="str">
        <f t="shared" si="110"/>
        <v>13073</v>
      </c>
      <c r="B2281" t="s">
        <v>3259</v>
      </c>
      <c r="C2281" t="s">
        <v>3263</v>
      </c>
      <c r="D2281" t="str">
        <f>"4222"</f>
        <v>4222</v>
      </c>
      <c r="E2281" t="s">
        <v>818</v>
      </c>
    </row>
    <row r="2282" spans="1:5" x14ac:dyDescent="0.25">
      <c r="A2282" t="str">
        <f t="shared" si="110"/>
        <v>13073</v>
      </c>
      <c r="B2282" t="s">
        <v>3259</v>
      </c>
      <c r="C2282" t="s">
        <v>3264</v>
      </c>
      <c r="D2282" t="str">
        <f>"4490"</f>
        <v>4490</v>
      </c>
      <c r="E2282" t="s">
        <v>818</v>
      </c>
    </row>
    <row r="2283" spans="1:5" x14ac:dyDescent="0.25">
      <c r="A2283" t="str">
        <f t="shared" si="110"/>
        <v>13073</v>
      </c>
      <c r="B2283" t="s">
        <v>3259</v>
      </c>
      <c r="C2283" t="s">
        <v>3265</v>
      </c>
      <c r="D2283" t="str">
        <f>"1835"</f>
        <v>1835</v>
      </c>
      <c r="E2283" t="s">
        <v>824</v>
      </c>
    </row>
    <row r="2284" spans="1:5" x14ac:dyDescent="0.25">
      <c r="A2284" t="str">
        <f t="shared" si="110"/>
        <v>13073</v>
      </c>
      <c r="B2284" t="s">
        <v>3259</v>
      </c>
      <c r="C2284" t="s">
        <v>3266</v>
      </c>
      <c r="D2284" t="str">
        <f>"4254"</f>
        <v>4254</v>
      </c>
      <c r="E2284" t="s">
        <v>824</v>
      </c>
    </row>
    <row r="2285" spans="1:5" x14ac:dyDescent="0.25">
      <c r="A2285" t="str">
        <f t="shared" si="110"/>
        <v>13073</v>
      </c>
      <c r="B2285" t="s">
        <v>3259</v>
      </c>
      <c r="C2285" t="s">
        <v>3267</v>
      </c>
      <c r="D2285" t="str">
        <f>"5144"</f>
        <v>5144</v>
      </c>
      <c r="E2285" t="s">
        <v>830</v>
      </c>
    </row>
    <row r="2286" spans="1:5" x14ac:dyDescent="0.25">
      <c r="A2286" t="str">
        <f>"36401"</f>
        <v>36401</v>
      </c>
      <c r="B2286" t="s">
        <v>3268</v>
      </c>
      <c r="C2286" t="s">
        <v>3269</v>
      </c>
      <c r="D2286" t="str">
        <f>"2174"</f>
        <v>2174</v>
      </c>
      <c r="E2286" t="s">
        <v>830</v>
      </c>
    </row>
    <row r="2287" spans="1:5" x14ac:dyDescent="0.25">
      <c r="A2287" t="str">
        <f>"36401"</f>
        <v>36401</v>
      </c>
      <c r="B2287" t="s">
        <v>3268</v>
      </c>
      <c r="C2287" t="s">
        <v>3270</v>
      </c>
      <c r="D2287" t="str">
        <f>"2712"</f>
        <v>2712</v>
      </c>
      <c r="E2287" t="s">
        <v>818</v>
      </c>
    </row>
    <row r="2288" spans="1:5" x14ac:dyDescent="0.25">
      <c r="A2288" t="str">
        <f>"36401"</f>
        <v>36401</v>
      </c>
      <c r="B2288" t="s">
        <v>3268</v>
      </c>
      <c r="C2288" t="s">
        <v>3271</v>
      </c>
      <c r="D2288" t="str">
        <f>"2386"</f>
        <v>2386</v>
      </c>
      <c r="E2288" t="s">
        <v>824</v>
      </c>
    </row>
    <row r="2289" spans="1:5" x14ac:dyDescent="0.25">
      <c r="A2289" t="str">
        <f t="shared" ref="A2289:A2302" si="111">"36140"</f>
        <v>36140</v>
      </c>
      <c r="B2289" t="s">
        <v>3272</v>
      </c>
      <c r="C2289" t="s">
        <v>3273</v>
      </c>
      <c r="D2289" t="str">
        <f>"2407"</f>
        <v>2407</v>
      </c>
      <c r="E2289" t="s">
        <v>824</v>
      </c>
    </row>
    <row r="2290" spans="1:5" x14ac:dyDescent="0.25">
      <c r="A2290" t="str">
        <f t="shared" si="111"/>
        <v>36140</v>
      </c>
      <c r="B2290" t="s">
        <v>3272</v>
      </c>
      <c r="C2290" t="s">
        <v>3274</v>
      </c>
      <c r="D2290" t="str">
        <f>"2074"</f>
        <v>2074</v>
      </c>
      <c r="E2290" t="s">
        <v>818</v>
      </c>
    </row>
    <row r="2291" spans="1:5" x14ac:dyDescent="0.25">
      <c r="A2291" t="str">
        <f t="shared" si="111"/>
        <v>36140</v>
      </c>
      <c r="B2291" t="s">
        <v>3272</v>
      </c>
      <c r="C2291" t="s">
        <v>3275</v>
      </c>
      <c r="D2291" t="str">
        <f>"4193"</f>
        <v>4193</v>
      </c>
      <c r="E2291" t="s">
        <v>818</v>
      </c>
    </row>
    <row r="2292" spans="1:5" x14ac:dyDescent="0.25">
      <c r="A2292" t="str">
        <f t="shared" si="111"/>
        <v>36140</v>
      </c>
      <c r="B2292" t="s">
        <v>3272</v>
      </c>
      <c r="C2292" t="s">
        <v>3276</v>
      </c>
      <c r="D2292" t="str">
        <f>"2528"</f>
        <v>2528</v>
      </c>
      <c r="E2292" t="s">
        <v>818</v>
      </c>
    </row>
    <row r="2293" spans="1:5" x14ac:dyDescent="0.25">
      <c r="A2293" t="str">
        <f t="shared" si="111"/>
        <v>36140</v>
      </c>
      <c r="B2293" t="s">
        <v>3272</v>
      </c>
      <c r="C2293" t="s">
        <v>3277</v>
      </c>
      <c r="D2293" t="str">
        <f>"3510"</f>
        <v>3510</v>
      </c>
      <c r="E2293" t="s">
        <v>830</v>
      </c>
    </row>
    <row r="2294" spans="1:5" x14ac:dyDescent="0.25">
      <c r="A2294" t="str">
        <f t="shared" si="111"/>
        <v>36140</v>
      </c>
      <c r="B2294" t="s">
        <v>3272</v>
      </c>
      <c r="C2294" t="s">
        <v>3278</v>
      </c>
      <c r="D2294" t="str">
        <f>"2078"</f>
        <v>2078</v>
      </c>
      <c r="E2294" t="s">
        <v>818</v>
      </c>
    </row>
    <row r="2295" spans="1:5" x14ac:dyDescent="0.25">
      <c r="A2295" t="str">
        <f t="shared" si="111"/>
        <v>36140</v>
      </c>
      <c r="B2295" t="s">
        <v>3272</v>
      </c>
      <c r="C2295" t="s">
        <v>3279</v>
      </c>
      <c r="D2295" t="str">
        <f>"5187"</f>
        <v>5187</v>
      </c>
      <c r="E2295" t="s">
        <v>826</v>
      </c>
    </row>
    <row r="2296" spans="1:5" x14ac:dyDescent="0.25">
      <c r="A2296" t="str">
        <f t="shared" si="111"/>
        <v>36140</v>
      </c>
      <c r="B2296" t="s">
        <v>3272</v>
      </c>
      <c r="C2296" t="s">
        <v>2504</v>
      </c>
      <c r="D2296" t="str">
        <f>"4071"</f>
        <v>4071</v>
      </c>
      <c r="E2296" t="s">
        <v>824</v>
      </c>
    </row>
    <row r="2297" spans="1:5" x14ac:dyDescent="0.25">
      <c r="A2297" t="str">
        <f t="shared" si="111"/>
        <v>36140</v>
      </c>
      <c r="B2297" t="s">
        <v>3272</v>
      </c>
      <c r="C2297" t="s">
        <v>3280</v>
      </c>
      <c r="D2297" t="str">
        <f>"5460"</f>
        <v>5460</v>
      </c>
      <c r="E2297" t="s">
        <v>824</v>
      </c>
    </row>
    <row r="2298" spans="1:5" x14ac:dyDescent="0.25">
      <c r="A2298" t="str">
        <f t="shared" si="111"/>
        <v>36140</v>
      </c>
      <c r="B2298" t="s">
        <v>3272</v>
      </c>
      <c r="C2298" t="s">
        <v>2497</v>
      </c>
      <c r="D2298" t="str">
        <f>"2780"</f>
        <v>2780</v>
      </c>
      <c r="E2298" t="s">
        <v>830</v>
      </c>
    </row>
    <row r="2299" spans="1:5" x14ac:dyDescent="0.25">
      <c r="A2299" t="str">
        <f t="shared" si="111"/>
        <v>36140</v>
      </c>
      <c r="B2299" t="s">
        <v>3272</v>
      </c>
      <c r="C2299" t="s">
        <v>3281</v>
      </c>
      <c r="D2299" t="str">
        <f>"2159"</f>
        <v>2159</v>
      </c>
      <c r="E2299" t="s">
        <v>818</v>
      </c>
    </row>
    <row r="2300" spans="1:5" x14ac:dyDescent="0.25">
      <c r="A2300" t="str">
        <f t="shared" si="111"/>
        <v>36140</v>
      </c>
      <c r="B2300" t="s">
        <v>3272</v>
      </c>
      <c r="C2300" t="s">
        <v>3282</v>
      </c>
      <c r="D2300" t="str">
        <f>"5337"</f>
        <v>5337</v>
      </c>
      <c r="E2300" t="s">
        <v>824</v>
      </c>
    </row>
    <row r="2301" spans="1:5" x14ac:dyDescent="0.25">
      <c r="A2301" t="str">
        <f t="shared" si="111"/>
        <v>36140</v>
      </c>
      <c r="B2301" t="s">
        <v>3272</v>
      </c>
      <c r="C2301" t="s">
        <v>3283</v>
      </c>
      <c r="D2301" t="str">
        <f>"3728"</f>
        <v>3728</v>
      </c>
      <c r="E2301" t="s">
        <v>818</v>
      </c>
    </row>
    <row r="2302" spans="1:5" x14ac:dyDescent="0.25">
      <c r="A2302" t="str">
        <f t="shared" si="111"/>
        <v>36140</v>
      </c>
      <c r="B2302" t="s">
        <v>3272</v>
      </c>
      <c r="C2302" t="s">
        <v>3284</v>
      </c>
      <c r="D2302" t="str">
        <f>"3468"</f>
        <v>3468</v>
      </c>
      <c r="E2302" t="s">
        <v>824</v>
      </c>
    </row>
    <row r="2303" spans="1:5" x14ac:dyDescent="0.25">
      <c r="A2303" t="str">
        <f t="shared" ref="A2303:A2309" si="112">"39207"</f>
        <v>39207</v>
      </c>
      <c r="B2303" t="s">
        <v>3285</v>
      </c>
      <c r="C2303" t="s">
        <v>1129</v>
      </c>
      <c r="D2303" t="str">
        <f>"4518"</f>
        <v>4518</v>
      </c>
      <c r="E2303" t="s">
        <v>818</v>
      </c>
    </row>
    <row r="2304" spans="1:5" x14ac:dyDescent="0.25">
      <c r="A2304" t="str">
        <f t="shared" si="112"/>
        <v>39207</v>
      </c>
      <c r="B2304" t="s">
        <v>3285</v>
      </c>
      <c r="C2304" t="s">
        <v>3286</v>
      </c>
      <c r="D2304" t="str">
        <f>"5544"</f>
        <v>5544</v>
      </c>
      <c r="E2304" t="s">
        <v>818</v>
      </c>
    </row>
    <row r="2305" spans="1:5" x14ac:dyDescent="0.25">
      <c r="A2305" t="str">
        <f t="shared" si="112"/>
        <v>39207</v>
      </c>
      <c r="B2305" t="s">
        <v>3285</v>
      </c>
      <c r="C2305" t="s">
        <v>3287</v>
      </c>
      <c r="D2305" t="str">
        <f>"4022"</f>
        <v>4022</v>
      </c>
      <c r="E2305" t="s">
        <v>821</v>
      </c>
    </row>
    <row r="2306" spans="1:5" x14ac:dyDescent="0.25">
      <c r="A2306" t="str">
        <f t="shared" si="112"/>
        <v>39207</v>
      </c>
      <c r="B2306" t="s">
        <v>3285</v>
      </c>
      <c r="C2306" t="s">
        <v>3288</v>
      </c>
      <c r="D2306" t="str">
        <f>"2757"</f>
        <v>2757</v>
      </c>
      <c r="E2306" t="s">
        <v>818</v>
      </c>
    </row>
    <row r="2307" spans="1:5" x14ac:dyDescent="0.25">
      <c r="A2307" t="str">
        <f t="shared" si="112"/>
        <v>39207</v>
      </c>
      <c r="B2307" t="s">
        <v>3285</v>
      </c>
      <c r="C2307" t="s">
        <v>3289</v>
      </c>
      <c r="D2307" t="str">
        <f>"5543"</f>
        <v>5543</v>
      </c>
      <c r="E2307" t="s">
        <v>818</v>
      </c>
    </row>
    <row r="2308" spans="1:5" x14ac:dyDescent="0.25">
      <c r="A2308" t="str">
        <f t="shared" si="112"/>
        <v>39207</v>
      </c>
      <c r="B2308" t="s">
        <v>3285</v>
      </c>
      <c r="C2308" t="s">
        <v>3290</v>
      </c>
      <c r="D2308" t="str">
        <f>"3141"</f>
        <v>3141</v>
      </c>
      <c r="E2308" t="s">
        <v>824</v>
      </c>
    </row>
    <row r="2309" spans="1:5" x14ac:dyDescent="0.25">
      <c r="A2309" t="str">
        <f t="shared" si="112"/>
        <v>39207</v>
      </c>
      <c r="B2309" t="s">
        <v>3285</v>
      </c>
      <c r="C2309" t="s">
        <v>3291</v>
      </c>
      <c r="D2309" t="str">
        <f>"2131"</f>
        <v>2131</v>
      </c>
      <c r="E2309" t="s">
        <v>830</v>
      </c>
    </row>
    <row r="2310" spans="1:5" x14ac:dyDescent="0.25">
      <c r="A2310" t="str">
        <f>"13146"</f>
        <v>13146</v>
      </c>
      <c r="B2310" t="s">
        <v>3292</v>
      </c>
      <c r="C2310" t="s">
        <v>3293</v>
      </c>
      <c r="D2310" t="str">
        <f>"2792"</f>
        <v>2792</v>
      </c>
      <c r="E2310" t="s">
        <v>818</v>
      </c>
    </row>
    <row r="2311" spans="1:5" x14ac:dyDescent="0.25">
      <c r="A2311" t="str">
        <f>"13146"</f>
        <v>13146</v>
      </c>
      <c r="B2311" t="s">
        <v>3292</v>
      </c>
      <c r="C2311" t="s">
        <v>3294</v>
      </c>
      <c r="D2311" t="str">
        <f>"3273"</f>
        <v>3273</v>
      </c>
      <c r="E2311" t="s">
        <v>824</v>
      </c>
    </row>
    <row r="2312" spans="1:5" x14ac:dyDescent="0.25">
      <c r="A2312" t="str">
        <f>"13146"</f>
        <v>13146</v>
      </c>
      <c r="B2312" t="s">
        <v>3292</v>
      </c>
      <c r="C2312" t="s">
        <v>3295</v>
      </c>
      <c r="D2312" t="str">
        <f>"3909"</f>
        <v>3909</v>
      </c>
      <c r="E2312" t="s">
        <v>830</v>
      </c>
    </row>
    <row r="2313" spans="1:5" x14ac:dyDescent="0.25">
      <c r="A2313" t="str">
        <f>"34979"</f>
        <v>34979</v>
      </c>
      <c r="B2313" t="s">
        <v>3296</v>
      </c>
      <c r="C2313" t="s">
        <v>3297</v>
      </c>
      <c r="D2313" t="str">
        <f>"5302"</f>
        <v>5302</v>
      </c>
      <c r="E2313" t="s">
        <v>824</v>
      </c>
    </row>
    <row r="2314" spans="1:5" x14ac:dyDescent="0.25">
      <c r="A2314" t="str">
        <f t="shared" ref="A2314:A2321" si="113">"06112"</f>
        <v>06112</v>
      </c>
      <c r="B2314" t="s">
        <v>3298</v>
      </c>
      <c r="C2314" t="s">
        <v>3299</v>
      </c>
      <c r="D2314" t="str">
        <f>"4549"</f>
        <v>4549</v>
      </c>
      <c r="E2314" t="s">
        <v>830</v>
      </c>
    </row>
    <row r="2315" spans="1:5" x14ac:dyDescent="0.25">
      <c r="A2315" t="str">
        <f t="shared" si="113"/>
        <v>06112</v>
      </c>
      <c r="B2315" t="s">
        <v>3298</v>
      </c>
      <c r="C2315" t="s">
        <v>3300</v>
      </c>
      <c r="D2315" t="str">
        <f>"3270"</f>
        <v>3270</v>
      </c>
      <c r="E2315" t="s">
        <v>818</v>
      </c>
    </row>
    <row r="2316" spans="1:5" x14ac:dyDescent="0.25">
      <c r="A2316" t="str">
        <f t="shared" si="113"/>
        <v>06112</v>
      </c>
      <c r="B2316" t="s">
        <v>3298</v>
      </c>
      <c r="C2316" t="s">
        <v>3301</v>
      </c>
      <c r="D2316" t="str">
        <f>"5494"</f>
        <v>5494</v>
      </c>
      <c r="E2316" t="s">
        <v>818</v>
      </c>
    </row>
    <row r="2317" spans="1:5" x14ac:dyDescent="0.25">
      <c r="A2317" t="str">
        <f t="shared" si="113"/>
        <v>06112</v>
      </c>
      <c r="B2317" t="s">
        <v>3298</v>
      </c>
      <c r="C2317" t="s">
        <v>3302</v>
      </c>
      <c r="D2317" t="str">
        <f>"2911"</f>
        <v>2911</v>
      </c>
      <c r="E2317" t="s">
        <v>818</v>
      </c>
    </row>
    <row r="2318" spans="1:5" x14ac:dyDescent="0.25">
      <c r="A2318" t="str">
        <f t="shared" si="113"/>
        <v>06112</v>
      </c>
      <c r="B2318" t="s">
        <v>3298</v>
      </c>
      <c r="C2318" t="s">
        <v>3303</v>
      </c>
      <c r="D2318" t="str">
        <f>"2509"</f>
        <v>2509</v>
      </c>
      <c r="E2318" t="s">
        <v>818</v>
      </c>
    </row>
    <row r="2319" spans="1:5" x14ac:dyDescent="0.25">
      <c r="A2319" t="str">
        <f t="shared" si="113"/>
        <v>06112</v>
      </c>
      <c r="B2319" t="s">
        <v>3298</v>
      </c>
      <c r="C2319" t="s">
        <v>3304</v>
      </c>
      <c r="D2319" t="str">
        <f>"4207"</f>
        <v>4207</v>
      </c>
      <c r="E2319" t="s">
        <v>830</v>
      </c>
    </row>
    <row r="2320" spans="1:5" x14ac:dyDescent="0.25">
      <c r="A2320" t="str">
        <f t="shared" si="113"/>
        <v>06112</v>
      </c>
      <c r="B2320" t="s">
        <v>3298</v>
      </c>
      <c r="C2320" t="s">
        <v>3305</v>
      </c>
      <c r="D2320" t="str">
        <f>"3147"</f>
        <v>3147</v>
      </c>
      <c r="E2320" t="s">
        <v>824</v>
      </c>
    </row>
    <row r="2321" spans="1:5" x14ac:dyDescent="0.25">
      <c r="A2321" t="str">
        <f t="shared" si="113"/>
        <v>06112</v>
      </c>
      <c r="B2321" t="s">
        <v>3298</v>
      </c>
      <c r="C2321" t="s">
        <v>3306</v>
      </c>
      <c r="D2321" t="str">
        <f>"1899"</f>
        <v>1899</v>
      </c>
      <c r="E2321" t="s">
        <v>826</v>
      </c>
    </row>
    <row r="2322" spans="1:5" x14ac:dyDescent="0.25">
      <c r="A2322" t="str">
        <f>"01109"</f>
        <v>01109</v>
      </c>
      <c r="B2322" t="s">
        <v>3307</v>
      </c>
      <c r="C2322" t="s">
        <v>3308</v>
      </c>
      <c r="D2322" t="str">
        <f>"3075"</f>
        <v>3075</v>
      </c>
      <c r="E2322" t="s">
        <v>851</v>
      </c>
    </row>
    <row r="2323" spans="1:5" x14ac:dyDescent="0.25">
      <c r="A2323" t="str">
        <f>"09209"</f>
        <v>09209</v>
      </c>
      <c r="B2323" t="s">
        <v>3309</v>
      </c>
      <c r="C2323" t="s">
        <v>3310</v>
      </c>
      <c r="D2323" t="str">
        <f>"2161"</f>
        <v>2161</v>
      </c>
      <c r="E2323" t="s">
        <v>818</v>
      </c>
    </row>
    <row r="2324" spans="1:5" x14ac:dyDescent="0.25">
      <c r="A2324" t="str">
        <f>"09209"</f>
        <v>09209</v>
      </c>
      <c r="B2324" t="s">
        <v>3309</v>
      </c>
      <c r="C2324" t="s">
        <v>3311</v>
      </c>
      <c r="D2324" t="str">
        <f>"2162"</f>
        <v>2162</v>
      </c>
      <c r="E2324" t="s">
        <v>821</v>
      </c>
    </row>
    <row r="2325" spans="1:5" x14ac:dyDescent="0.25">
      <c r="A2325" t="str">
        <f>"33049"</f>
        <v>33049</v>
      </c>
      <c r="B2325" t="s">
        <v>3312</v>
      </c>
      <c r="C2325" t="s">
        <v>3313</v>
      </c>
      <c r="D2325" t="str">
        <f>"2549"</f>
        <v>2549</v>
      </c>
      <c r="E2325" t="s">
        <v>818</v>
      </c>
    </row>
    <row r="2326" spans="1:5" x14ac:dyDescent="0.25">
      <c r="A2326" t="str">
        <f>"33049"</f>
        <v>33049</v>
      </c>
      <c r="B2326" t="s">
        <v>3312</v>
      </c>
      <c r="C2326" t="s">
        <v>3314</v>
      </c>
      <c r="D2326" t="str">
        <f>"5461"</f>
        <v>5461</v>
      </c>
      <c r="E2326" t="s">
        <v>824</v>
      </c>
    </row>
    <row r="2327" spans="1:5" x14ac:dyDescent="0.25">
      <c r="A2327" t="str">
        <f>"33049"</f>
        <v>33049</v>
      </c>
      <c r="B2327" t="s">
        <v>3312</v>
      </c>
      <c r="C2327" t="s">
        <v>3315</v>
      </c>
      <c r="D2327" t="str">
        <f>"2550"</f>
        <v>2550</v>
      </c>
      <c r="E2327" t="s">
        <v>851</v>
      </c>
    </row>
    <row r="2328" spans="1:5" x14ac:dyDescent="0.25">
      <c r="A2328" t="str">
        <f>"33049"</f>
        <v>33049</v>
      </c>
      <c r="B2328" t="s">
        <v>3312</v>
      </c>
      <c r="C2328" t="s">
        <v>3316</v>
      </c>
      <c r="D2328" t="str">
        <f>"4232"</f>
        <v>4232</v>
      </c>
      <c r="E2328" t="s">
        <v>830</v>
      </c>
    </row>
    <row r="2329" spans="1:5" x14ac:dyDescent="0.25">
      <c r="A2329" t="str">
        <f t="shared" ref="A2329:A2346" si="114">"04246"</f>
        <v>04246</v>
      </c>
      <c r="B2329" t="s">
        <v>3317</v>
      </c>
      <c r="C2329" t="s">
        <v>3318</v>
      </c>
      <c r="D2329" t="str">
        <f>"3209"</f>
        <v>3209</v>
      </c>
      <c r="E2329" t="s">
        <v>818</v>
      </c>
    </row>
    <row r="2330" spans="1:5" x14ac:dyDescent="0.25">
      <c r="A2330" t="str">
        <f t="shared" si="114"/>
        <v>04246</v>
      </c>
      <c r="B2330" t="s">
        <v>3317</v>
      </c>
      <c r="C2330" t="s">
        <v>3319</v>
      </c>
      <c r="D2330" t="str">
        <f>"3269"</f>
        <v>3269</v>
      </c>
      <c r="E2330" t="s">
        <v>821</v>
      </c>
    </row>
    <row r="2331" spans="1:5" x14ac:dyDescent="0.25">
      <c r="A2331" t="str">
        <f t="shared" si="114"/>
        <v>04246</v>
      </c>
      <c r="B2331" t="s">
        <v>3317</v>
      </c>
      <c r="C2331" t="s">
        <v>3320</v>
      </c>
      <c r="D2331" t="str">
        <f>"1802"</f>
        <v>1802</v>
      </c>
      <c r="E2331" t="s">
        <v>821</v>
      </c>
    </row>
    <row r="2332" spans="1:5" x14ac:dyDescent="0.25">
      <c r="A2332" t="str">
        <f t="shared" si="114"/>
        <v>04246</v>
      </c>
      <c r="B2332" t="s">
        <v>3317</v>
      </c>
      <c r="C2332" t="s">
        <v>964</v>
      </c>
      <c r="D2332" t="str">
        <f>"2301"</f>
        <v>2301</v>
      </c>
      <c r="E2332" t="s">
        <v>818</v>
      </c>
    </row>
    <row r="2333" spans="1:5" x14ac:dyDescent="0.25">
      <c r="A2333" t="str">
        <f t="shared" si="114"/>
        <v>04246</v>
      </c>
      <c r="B2333" t="s">
        <v>3317</v>
      </c>
      <c r="C2333" t="s">
        <v>3321</v>
      </c>
      <c r="D2333" t="str">
        <f>"4432"</f>
        <v>4432</v>
      </c>
      <c r="E2333" t="s">
        <v>830</v>
      </c>
    </row>
    <row r="2334" spans="1:5" x14ac:dyDescent="0.25">
      <c r="A2334" t="str">
        <f t="shared" si="114"/>
        <v>04246</v>
      </c>
      <c r="B2334" t="s">
        <v>3317</v>
      </c>
      <c r="C2334" t="s">
        <v>3322</v>
      </c>
      <c r="D2334" t="str">
        <f>"4423"</f>
        <v>4423</v>
      </c>
      <c r="E2334" t="s">
        <v>818</v>
      </c>
    </row>
    <row r="2335" spans="1:5" x14ac:dyDescent="0.25">
      <c r="A2335" t="str">
        <f t="shared" si="114"/>
        <v>04246</v>
      </c>
      <c r="B2335" t="s">
        <v>3317</v>
      </c>
      <c r="C2335" t="s">
        <v>3323</v>
      </c>
      <c r="D2335" t="str">
        <f>"2279"</f>
        <v>2279</v>
      </c>
      <c r="E2335" t="s">
        <v>818</v>
      </c>
    </row>
    <row r="2336" spans="1:5" x14ac:dyDescent="0.25">
      <c r="A2336" t="str">
        <f t="shared" si="114"/>
        <v>04246</v>
      </c>
      <c r="B2336" t="s">
        <v>3317</v>
      </c>
      <c r="C2336" t="s">
        <v>3324</v>
      </c>
      <c r="D2336" t="str">
        <f>"2347"</f>
        <v>2347</v>
      </c>
      <c r="E2336" t="s">
        <v>818</v>
      </c>
    </row>
    <row r="2337" spans="1:5" x14ac:dyDescent="0.25">
      <c r="A2337" t="str">
        <f t="shared" si="114"/>
        <v>04246</v>
      </c>
      <c r="B2337" t="s">
        <v>3317</v>
      </c>
      <c r="C2337" t="s">
        <v>3325</v>
      </c>
      <c r="D2337" t="str">
        <f>"5316"</f>
        <v>5316</v>
      </c>
      <c r="E2337" t="s">
        <v>824</v>
      </c>
    </row>
    <row r="2338" spans="1:5" x14ac:dyDescent="0.25">
      <c r="A2338" t="str">
        <f t="shared" si="114"/>
        <v>04246</v>
      </c>
      <c r="B2338" t="s">
        <v>3317</v>
      </c>
      <c r="C2338" t="s">
        <v>3326</v>
      </c>
      <c r="D2338" t="str">
        <f>"3370"</f>
        <v>3370</v>
      </c>
      <c r="E2338" t="s">
        <v>830</v>
      </c>
    </row>
    <row r="2339" spans="1:5" x14ac:dyDescent="0.25">
      <c r="A2339" t="str">
        <f t="shared" si="114"/>
        <v>04246</v>
      </c>
      <c r="B2339" t="s">
        <v>3317</v>
      </c>
      <c r="C2339" t="s">
        <v>2497</v>
      </c>
      <c r="D2339" t="str">
        <f>"3210"</f>
        <v>3210</v>
      </c>
      <c r="E2339" t="s">
        <v>830</v>
      </c>
    </row>
    <row r="2340" spans="1:5" x14ac:dyDescent="0.25">
      <c r="A2340" t="str">
        <f t="shared" si="114"/>
        <v>04246</v>
      </c>
      <c r="B2340" t="s">
        <v>3317</v>
      </c>
      <c r="C2340" t="s">
        <v>3327</v>
      </c>
      <c r="D2340" t="str">
        <f>"1612"</f>
        <v>1612</v>
      </c>
      <c r="E2340" t="s">
        <v>824</v>
      </c>
    </row>
    <row r="2341" spans="1:5" x14ac:dyDescent="0.25">
      <c r="A2341" t="str">
        <f t="shared" si="114"/>
        <v>04246</v>
      </c>
      <c r="B2341" t="s">
        <v>3317</v>
      </c>
      <c r="C2341" t="s">
        <v>2916</v>
      </c>
      <c r="D2341" t="str">
        <f>"3208"</f>
        <v>3208</v>
      </c>
      <c r="E2341" t="s">
        <v>818</v>
      </c>
    </row>
    <row r="2342" spans="1:5" x14ac:dyDescent="0.25">
      <c r="A2342" t="str">
        <f t="shared" si="114"/>
        <v>04246</v>
      </c>
      <c r="B2342" t="s">
        <v>3317</v>
      </c>
      <c r="C2342" t="s">
        <v>3328</v>
      </c>
      <c r="D2342" t="str">
        <f>"1742"</f>
        <v>1742</v>
      </c>
      <c r="E2342" t="s">
        <v>859</v>
      </c>
    </row>
    <row r="2343" spans="1:5" x14ac:dyDescent="0.25">
      <c r="A2343" t="str">
        <f t="shared" si="114"/>
        <v>04246</v>
      </c>
      <c r="B2343" t="s">
        <v>3317</v>
      </c>
      <c r="C2343" t="s">
        <v>887</v>
      </c>
      <c r="D2343" t="str">
        <f>"2907"</f>
        <v>2907</v>
      </c>
      <c r="E2343" t="s">
        <v>818</v>
      </c>
    </row>
    <row r="2344" spans="1:5" x14ac:dyDescent="0.25">
      <c r="A2344" t="str">
        <f t="shared" si="114"/>
        <v>04246</v>
      </c>
      <c r="B2344" t="s">
        <v>3317</v>
      </c>
      <c r="C2344" t="s">
        <v>3329</v>
      </c>
      <c r="D2344" t="str">
        <f>"2134"</f>
        <v>2134</v>
      </c>
      <c r="E2344" t="s">
        <v>824</v>
      </c>
    </row>
    <row r="2345" spans="1:5" x14ac:dyDescent="0.25">
      <c r="A2345" t="str">
        <f t="shared" si="114"/>
        <v>04246</v>
      </c>
      <c r="B2345" t="s">
        <v>3317</v>
      </c>
      <c r="C2345" t="s">
        <v>3330</v>
      </c>
      <c r="D2345" t="str">
        <f>"4105"</f>
        <v>4105</v>
      </c>
      <c r="E2345" t="s">
        <v>824</v>
      </c>
    </row>
    <row r="2346" spans="1:5" x14ac:dyDescent="0.25">
      <c r="A2346" t="str">
        <f t="shared" si="114"/>
        <v>04246</v>
      </c>
      <c r="B2346" t="s">
        <v>3317</v>
      </c>
      <c r="C2346" t="s">
        <v>3331</v>
      </c>
      <c r="D2346" t="str">
        <f>"1613"</f>
        <v>1613</v>
      </c>
      <c r="E2346" t="s">
        <v>824</v>
      </c>
    </row>
    <row r="2347" spans="1:5" x14ac:dyDescent="0.25">
      <c r="A2347" t="str">
        <f t="shared" ref="A2347:A2359" si="115">"32363"</f>
        <v>32363</v>
      </c>
      <c r="B2347" t="s">
        <v>3332</v>
      </c>
      <c r="C2347" t="s">
        <v>2861</v>
      </c>
      <c r="D2347" t="str">
        <f>"3538"</f>
        <v>3538</v>
      </c>
      <c r="E2347" t="s">
        <v>830</v>
      </c>
    </row>
    <row r="2348" spans="1:5" x14ac:dyDescent="0.25">
      <c r="A2348" t="str">
        <f t="shared" si="115"/>
        <v>32363</v>
      </c>
      <c r="B2348" t="s">
        <v>3332</v>
      </c>
      <c r="C2348" t="s">
        <v>3333</v>
      </c>
      <c r="D2348" t="str">
        <f>"1628"</f>
        <v>1628</v>
      </c>
      <c r="E2348" t="s">
        <v>824</v>
      </c>
    </row>
    <row r="2349" spans="1:5" x14ac:dyDescent="0.25">
      <c r="A2349" t="str">
        <f t="shared" si="115"/>
        <v>32363</v>
      </c>
      <c r="B2349" t="s">
        <v>3332</v>
      </c>
      <c r="C2349" t="s">
        <v>3334</v>
      </c>
      <c r="D2349" t="str">
        <f>"2711"</f>
        <v>2711</v>
      </c>
      <c r="E2349" t="s">
        <v>818</v>
      </c>
    </row>
    <row r="2350" spans="1:5" x14ac:dyDescent="0.25">
      <c r="A2350" t="str">
        <f t="shared" si="115"/>
        <v>32363</v>
      </c>
      <c r="B2350" t="s">
        <v>3332</v>
      </c>
      <c r="C2350" t="s">
        <v>3335</v>
      </c>
      <c r="D2350" t="str">
        <f>"3196"</f>
        <v>3196</v>
      </c>
      <c r="E2350" t="s">
        <v>818</v>
      </c>
    </row>
    <row r="2351" spans="1:5" x14ac:dyDescent="0.25">
      <c r="A2351" t="str">
        <f t="shared" si="115"/>
        <v>32363</v>
      </c>
      <c r="B2351" t="s">
        <v>3332</v>
      </c>
      <c r="C2351" t="s">
        <v>3336</v>
      </c>
      <c r="D2351" t="str">
        <f>"3129"</f>
        <v>3129</v>
      </c>
      <c r="E2351" t="s">
        <v>818</v>
      </c>
    </row>
    <row r="2352" spans="1:5" x14ac:dyDescent="0.25">
      <c r="A2352" t="str">
        <f t="shared" si="115"/>
        <v>32363</v>
      </c>
      <c r="B2352" t="s">
        <v>3332</v>
      </c>
      <c r="C2352" t="s">
        <v>3337</v>
      </c>
      <c r="D2352" t="str">
        <f>"3194"</f>
        <v>3194</v>
      </c>
      <c r="E2352" t="s">
        <v>818</v>
      </c>
    </row>
    <row r="2353" spans="1:5" x14ac:dyDescent="0.25">
      <c r="A2353" t="str">
        <f t="shared" si="115"/>
        <v>32363</v>
      </c>
      <c r="B2353" t="s">
        <v>3332</v>
      </c>
      <c r="C2353" t="s">
        <v>3338</v>
      </c>
      <c r="D2353" t="str">
        <f>"5356"</f>
        <v>5356</v>
      </c>
      <c r="E2353" t="s">
        <v>824</v>
      </c>
    </row>
    <row r="2354" spans="1:5" x14ac:dyDescent="0.25">
      <c r="A2354" t="str">
        <f t="shared" si="115"/>
        <v>32363</v>
      </c>
      <c r="B2354" t="s">
        <v>3332</v>
      </c>
      <c r="C2354" t="s">
        <v>3339</v>
      </c>
      <c r="D2354" t="str">
        <f>"2956"</f>
        <v>2956</v>
      </c>
      <c r="E2354" t="s">
        <v>818</v>
      </c>
    </row>
    <row r="2355" spans="1:5" x14ac:dyDescent="0.25">
      <c r="A2355" t="str">
        <f t="shared" si="115"/>
        <v>32363</v>
      </c>
      <c r="B2355" t="s">
        <v>3332</v>
      </c>
      <c r="C2355" t="s">
        <v>3340</v>
      </c>
      <c r="D2355" t="str">
        <f>"1838"</f>
        <v>1838</v>
      </c>
      <c r="E2355" t="s">
        <v>824</v>
      </c>
    </row>
    <row r="2356" spans="1:5" x14ac:dyDescent="0.25">
      <c r="A2356" t="str">
        <f t="shared" si="115"/>
        <v>32363</v>
      </c>
      <c r="B2356" t="s">
        <v>3332</v>
      </c>
      <c r="C2356" t="s">
        <v>3341</v>
      </c>
      <c r="D2356" t="str">
        <f>"1842"</f>
        <v>1842</v>
      </c>
      <c r="E2356" t="s">
        <v>824</v>
      </c>
    </row>
    <row r="2357" spans="1:5" x14ac:dyDescent="0.25">
      <c r="A2357" t="str">
        <f t="shared" si="115"/>
        <v>32363</v>
      </c>
      <c r="B2357" t="s">
        <v>3332</v>
      </c>
      <c r="C2357" t="s">
        <v>3342</v>
      </c>
      <c r="D2357" t="str">
        <f>"1755"</f>
        <v>1755</v>
      </c>
      <c r="E2357" t="s">
        <v>830</v>
      </c>
    </row>
    <row r="2358" spans="1:5" x14ac:dyDescent="0.25">
      <c r="A2358" t="str">
        <f t="shared" si="115"/>
        <v>32363</v>
      </c>
      <c r="B2358" t="s">
        <v>3332</v>
      </c>
      <c r="C2358" t="s">
        <v>3343</v>
      </c>
      <c r="D2358" t="str">
        <f>"5462"</f>
        <v>5462</v>
      </c>
      <c r="E2358" t="s">
        <v>826</v>
      </c>
    </row>
    <row r="2359" spans="1:5" x14ac:dyDescent="0.25">
      <c r="A2359" t="str">
        <f t="shared" si="115"/>
        <v>32363</v>
      </c>
      <c r="B2359" t="s">
        <v>3332</v>
      </c>
      <c r="C2359" t="s">
        <v>3344</v>
      </c>
      <c r="D2359" t="str">
        <f>"3195"</f>
        <v>3195</v>
      </c>
      <c r="E2359" t="s">
        <v>824</v>
      </c>
    </row>
    <row r="2360" spans="1:5" x14ac:dyDescent="0.25">
      <c r="A2360" t="str">
        <f t="shared" ref="A2360:A2375" si="116">"39208"</f>
        <v>39208</v>
      </c>
      <c r="B2360" t="s">
        <v>3345</v>
      </c>
      <c r="C2360" t="s">
        <v>3346</v>
      </c>
      <c r="D2360" t="str">
        <f>"2822"</f>
        <v>2822</v>
      </c>
      <c r="E2360" t="s">
        <v>818</v>
      </c>
    </row>
    <row r="2361" spans="1:5" x14ac:dyDescent="0.25">
      <c r="A2361" t="str">
        <f t="shared" si="116"/>
        <v>39208</v>
      </c>
      <c r="B2361" t="s">
        <v>3345</v>
      </c>
      <c r="C2361" t="s">
        <v>3347</v>
      </c>
      <c r="D2361" t="str">
        <f>"3699"</f>
        <v>3699</v>
      </c>
      <c r="E2361" t="s">
        <v>818</v>
      </c>
    </row>
    <row r="2362" spans="1:5" x14ac:dyDescent="0.25">
      <c r="A2362" t="str">
        <f t="shared" si="116"/>
        <v>39208</v>
      </c>
      <c r="B2362" t="s">
        <v>3345</v>
      </c>
      <c r="C2362" t="s">
        <v>3348</v>
      </c>
      <c r="D2362" t="str">
        <f>"5096"</f>
        <v>5096</v>
      </c>
      <c r="E2362" t="s">
        <v>826</v>
      </c>
    </row>
    <row r="2363" spans="1:5" x14ac:dyDescent="0.25">
      <c r="A2363" t="str">
        <f t="shared" si="116"/>
        <v>39208</v>
      </c>
      <c r="B2363" t="s">
        <v>3345</v>
      </c>
      <c r="C2363" t="s">
        <v>1114</v>
      </c>
      <c r="D2363" t="str">
        <f>"4448"</f>
        <v>4448</v>
      </c>
      <c r="E2363" t="s">
        <v>818</v>
      </c>
    </row>
    <row r="2364" spans="1:5" x14ac:dyDescent="0.25">
      <c r="A2364" t="str">
        <f t="shared" si="116"/>
        <v>39208</v>
      </c>
      <c r="B2364" t="s">
        <v>3345</v>
      </c>
      <c r="C2364" t="s">
        <v>3349</v>
      </c>
      <c r="D2364" t="str">
        <f>"2758"</f>
        <v>2758</v>
      </c>
      <c r="E2364" t="s">
        <v>818</v>
      </c>
    </row>
    <row r="2365" spans="1:5" x14ac:dyDescent="0.25">
      <c r="A2365" t="str">
        <f t="shared" si="116"/>
        <v>39208</v>
      </c>
      <c r="B2365" t="s">
        <v>3345</v>
      </c>
      <c r="C2365" t="s">
        <v>3350</v>
      </c>
      <c r="D2365" t="str">
        <f>"3207"</f>
        <v>3207</v>
      </c>
      <c r="E2365" t="s">
        <v>818</v>
      </c>
    </row>
    <row r="2366" spans="1:5" x14ac:dyDescent="0.25">
      <c r="A2366" t="str">
        <f t="shared" si="116"/>
        <v>39208</v>
      </c>
      <c r="B2366" t="s">
        <v>3345</v>
      </c>
      <c r="C2366" t="s">
        <v>3344</v>
      </c>
      <c r="D2366" t="str">
        <f>"3074"</f>
        <v>3074</v>
      </c>
      <c r="E2366" t="s">
        <v>824</v>
      </c>
    </row>
    <row r="2367" spans="1:5" x14ac:dyDescent="0.25">
      <c r="A2367" t="str">
        <f t="shared" si="116"/>
        <v>39208</v>
      </c>
      <c r="B2367" t="s">
        <v>3345</v>
      </c>
      <c r="C2367" t="s">
        <v>3351</v>
      </c>
      <c r="D2367" t="str">
        <f>"5221"</f>
        <v>5221</v>
      </c>
      <c r="E2367" t="s">
        <v>824</v>
      </c>
    </row>
    <row r="2368" spans="1:5" x14ac:dyDescent="0.25">
      <c r="A2368" t="str">
        <f t="shared" si="116"/>
        <v>39208</v>
      </c>
      <c r="B2368" t="s">
        <v>3345</v>
      </c>
      <c r="C2368" t="s">
        <v>3352</v>
      </c>
      <c r="D2368" t="str">
        <f>"4040"</f>
        <v>4040</v>
      </c>
      <c r="E2368" t="s">
        <v>824</v>
      </c>
    </row>
    <row r="2369" spans="1:5" x14ac:dyDescent="0.25">
      <c r="A2369" t="str">
        <f t="shared" si="116"/>
        <v>39208</v>
      </c>
      <c r="B2369" t="s">
        <v>3345</v>
      </c>
      <c r="C2369" t="s">
        <v>3353</v>
      </c>
      <c r="D2369" t="str">
        <f>"4506"</f>
        <v>4506</v>
      </c>
      <c r="E2369" t="s">
        <v>830</v>
      </c>
    </row>
    <row r="2370" spans="1:5" x14ac:dyDescent="0.25">
      <c r="A2370" t="str">
        <f t="shared" si="116"/>
        <v>39208</v>
      </c>
      <c r="B2370" t="s">
        <v>3345</v>
      </c>
      <c r="C2370" t="s">
        <v>3354</v>
      </c>
      <c r="D2370" t="str">
        <f>"5540"</f>
        <v>5540</v>
      </c>
      <c r="E2370" t="s">
        <v>824</v>
      </c>
    </row>
    <row r="2371" spans="1:5" x14ac:dyDescent="0.25">
      <c r="A2371" t="str">
        <f t="shared" si="116"/>
        <v>39208</v>
      </c>
      <c r="B2371" t="s">
        <v>3345</v>
      </c>
      <c r="C2371" t="s">
        <v>3355</v>
      </c>
      <c r="D2371" t="str">
        <f>"5008"</f>
        <v>5008</v>
      </c>
      <c r="E2371" t="s">
        <v>826</v>
      </c>
    </row>
    <row r="2372" spans="1:5" x14ac:dyDescent="0.25">
      <c r="A2372" t="str">
        <f t="shared" si="116"/>
        <v>39208</v>
      </c>
      <c r="B2372" t="s">
        <v>3345</v>
      </c>
      <c r="C2372" t="s">
        <v>3356</v>
      </c>
      <c r="D2372" t="str">
        <f>"5505"</f>
        <v>5505</v>
      </c>
      <c r="E2372" t="s">
        <v>830</v>
      </c>
    </row>
    <row r="2373" spans="1:5" x14ac:dyDescent="0.25">
      <c r="A2373" t="str">
        <f t="shared" si="116"/>
        <v>39208</v>
      </c>
      <c r="B2373" t="s">
        <v>3345</v>
      </c>
      <c r="C2373" t="s">
        <v>3357</v>
      </c>
      <c r="D2373" t="str">
        <f>"5506"</f>
        <v>5506</v>
      </c>
      <c r="E2373" t="s">
        <v>824</v>
      </c>
    </row>
    <row r="2374" spans="1:5" x14ac:dyDescent="0.25">
      <c r="A2374" t="str">
        <f t="shared" si="116"/>
        <v>39208</v>
      </c>
      <c r="B2374" t="s">
        <v>3345</v>
      </c>
      <c r="C2374" t="s">
        <v>3358</v>
      </c>
      <c r="D2374" t="str">
        <f>"5504"</f>
        <v>5504</v>
      </c>
      <c r="E2374" t="s">
        <v>818</v>
      </c>
    </row>
    <row r="2375" spans="1:5" x14ac:dyDescent="0.25">
      <c r="A2375" t="str">
        <f t="shared" si="116"/>
        <v>39208</v>
      </c>
      <c r="B2375" t="s">
        <v>3345</v>
      </c>
      <c r="C2375" t="s">
        <v>3359</v>
      </c>
      <c r="D2375" t="str">
        <f>"2505"</f>
        <v>2505</v>
      </c>
      <c r="E2375" t="s">
        <v>818</v>
      </c>
    </row>
    <row r="2376" spans="1:5" x14ac:dyDescent="0.25">
      <c r="A2376" t="str">
        <f>"21303"</f>
        <v>21303</v>
      </c>
      <c r="B2376" t="s">
        <v>3360</v>
      </c>
      <c r="C2376" t="s">
        <v>3361</v>
      </c>
      <c r="D2376" t="str">
        <f>"3555"</f>
        <v>3555</v>
      </c>
      <c r="E2376" t="s">
        <v>818</v>
      </c>
    </row>
    <row r="2377" spans="1:5" x14ac:dyDescent="0.25">
      <c r="A2377" t="str">
        <f>"21303"</f>
        <v>21303</v>
      </c>
      <c r="B2377" t="s">
        <v>3360</v>
      </c>
      <c r="C2377" t="s">
        <v>3362</v>
      </c>
      <c r="D2377" t="str">
        <f>"2859"</f>
        <v>2859</v>
      </c>
      <c r="E2377" t="s">
        <v>821</v>
      </c>
    </row>
    <row r="2378" spans="1:5" x14ac:dyDescent="0.25">
      <c r="A2378" t="str">
        <f t="shared" ref="A2378:A2386" si="117">"27416"</f>
        <v>27416</v>
      </c>
      <c r="B2378" t="s">
        <v>3363</v>
      </c>
      <c r="C2378" t="s">
        <v>3364</v>
      </c>
      <c r="D2378" t="str">
        <f>"2190"</f>
        <v>2190</v>
      </c>
      <c r="E2378" t="s">
        <v>818</v>
      </c>
    </row>
    <row r="2379" spans="1:5" x14ac:dyDescent="0.25">
      <c r="A2379" t="str">
        <f t="shared" si="117"/>
        <v>27416</v>
      </c>
      <c r="B2379" t="s">
        <v>3363</v>
      </c>
      <c r="C2379" t="s">
        <v>3365</v>
      </c>
      <c r="D2379" t="str">
        <f>"4309"</f>
        <v>4309</v>
      </c>
      <c r="E2379" t="s">
        <v>818</v>
      </c>
    </row>
    <row r="2380" spans="1:5" x14ac:dyDescent="0.25">
      <c r="A2380" t="str">
        <f t="shared" si="117"/>
        <v>27416</v>
      </c>
      <c r="B2380" t="s">
        <v>3363</v>
      </c>
      <c r="C2380" t="s">
        <v>3366</v>
      </c>
      <c r="D2380" t="str">
        <f>"3458"</f>
        <v>3458</v>
      </c>
      <c r="E2380" t="s">
        <v>830</v>
      </c>
    </row>
    <row r="2381" spans="1:5" x14ac:dyDescent="0.25">
      <c r="A2381" t="str">
        <f t="shared" si="117"/>
        <v>27416</v>
      </c>
      <c r="B2381" t="s">
        <v>3363</v>
      </c>
      <c r="C2381" t="s">
        <v>3367</v>
      </c>
      <c r="D2381" t="str">
        <f>"4471"</f>
        <v>4471</v>
      </c>
      <c r="E2381" t="s">
        <v>818</v>
      </c>
    </row>
    <row r="2382" spans="1:5" x14ac:dyDescent="0.25">
      <c r="A2382" t="str">
        <f t="shared" si="117"/>
        <v>27416</v>
      </c>
      <c r="B2382" t="s">
        <v>3363</v>
      </c>
      <c r="C2382" t="s">
        <v>3368</v>
      </c>
      <c r="D2382" t="str">
        <f>"4569"</f>
        <v>4569</v>
      </c>
      <c r="E2382" t="s">
        <v>824</v>
      </c>
    </row>
    <row r="2383" spans="1:5" x14ac:dyDescent="0.25">
      <c r="A2383" t="str">
        <f t="shared" si="117"/>
        <v>27416</v>
      </c>
      <c r="B2383" t="s">
        <v>3363</v>
      </c>
      <c r="C2383" t="s">
        <v>3369</v>
      </c>
      <c r="D2383" t="str">
        <f>"5390"</f>
        <v>5390</v>
      </c>
      <c r="E2383" t="s">
        <v>859</v>
      </c>
    </row>
    <row r="2384" spans="1:5" x14ac:dyDescent="0.25">
      <c r="A2384" t="str">
        <f t="shared" si="117"/>
        <v>27416</v>
      </c>
      <c r="B2384" t="s">
        <v>3363</v>
      </c>
      <c r="C2384" t="s">
        <v>3370</v>
      </c>
      <c r="D2384" t="str">
        <f>"5338"</f>
        <v>5338</v>
      </c>
      <c r="E2384" t="s">
        <v>824</v>
      </c>
    </row>
    <row r="2385" spans="1:5" x14ac:dyDescent="0.25">
      <c r="A2385" t="str">
        <f t="shared" si="117"/>
        <v>27416</v>
      </c>
      <c r="B2385" t="s">
        <v>3363</v>
      </c>
      <c r="C2385" t="s">
        <v>3371</v>
      </c>
      <c r="D2385" t="str">
        <f>"5045"</f>
        <v>5045</v>
      </c>
      <c r="E2385" t="s">
        <v>818</v>
      </c>
    </row>
    <row r="2386" spans="1:5" x14ac:dyDescent="0.25">
      <c r="A2386" t="str">
        <f t="shared" si="117"/>
        <v>27416</v>
      </c>
      <c r="B2386" t="s">
        <v>3363</v>
      </c>
      <c r="C2386" t="s">
        <v>3372</v>
      </c>
      <c r="D2386" t="str">
        <f>"4170"</f>
        <v>4170</v>
      </c>
      <c r="E2386" t="s">
        <v>818</v>
      </c>
    </row>
    <row r="2387" spans="1:5" x14ac:dyDescent="0.25">
      <c r="A2387" t="str">
        <f>"20405"</f>
        <v>20405</v>
      </c>
      <c r="B2387" t="s">
        <v>3373</v>
      </c>
      <c r="C2387" t="s">
        <v>1270</v>
      </c>
      <c r="D2387" t="str">
        <f>"2330"</f>
        <v>2330</v>
      </c>
      <c r="E2387" t="s">
        <v>824</v>
      </c>
    </row>
    <row r="2388" spans="1:5" x14ac:dyDescent="0.25">
      <c r="A2388" t="str">
        <f>"20405"</f>
        <v>20405</v>
      </c>
      <c r="B2388" t="s">
        <v>3373</v>
      </c>
      <c r="C2388" t="s">
        <v>3374</v>
      </c>
      <c r="D2388" t="str">
        <f>"2997"</f>
        <v>2997</v>
      </c>
      <c r="E2388" t="s">
        <v>818</v>
      </c>
    </row>
    <row r="2389" spans="1:5" x14ac:dyDescent="0.25">
      <c r="A2389" t="str">
        <f>"20405"</f>
        <v>20405</v>
      </c>
      <c r="B2389" t="s">
        <v>3373</v>
      </c>
      <c r="C2389" t="s">
        <v>3375</v>
      </c>
      <c r="D2389" t="str">
        <f>"5368"</f>
        <v>5368</v>
      </c>
      <c r="E2389" t="s">
        <v>818</v>
      </c>
    </row>
    <row r="2390" spans="1:5" x14ac:dyDescent="0.25">
      <c r="A2390" t="str">
        <f>"20405"</f>
        <v>20405</v>
      </c>
      <c r="B2390" t="s">
        <v>3373</v>
      </c>
      <c r="C2390" t="s">
        <v>3376</v>
      </c>
      <c r="D2390" t="str">
        <f>"3394"</f>
        <v>3394</v>
      </c>
      <c r="E2390" t="s">
        <v>830</v>
      </c>
    </row>
    <row r="2391" spans="1:5" x14ac:dyDescent="0.25">
      <c r="A2391" t="str">
        <f>"20405"</f>
        <v>20405</v>
      </c>
      <c r="B2391" t="s">
        <v>3373</v>
      </c>
      <c r="C2391" t="s">
        <v>3377</v>
      </c>
      <c r="D2391" t="str">
        <f>"5077"</f>
        <v>5077</v>
      </c>
      <c r="E2391" t="s">
        <v>824</v>
      </c>
    </row>
    <row r="2392" spans="1:5" x14ac:dyDescent="0.25">
      <c r="A2392" t="str">
        <f>"22200"</f>
        <v>22200</v>
      </c>
      <c r="B2392" t="s">
        <v>3378</v>
      </c>
      <c r="C2392" t="s">
        <v>3379</v>
      </c>
      <c r="D2392" t="str">
        <f>"3290"</f>
        <v>3290</v>
      </c>
      <c r="E2392" t="s">
        <v>818</v>
      </c>
    </row>
    <row r="2393" spans="1:5" x14ac:dyDescent="0.25">
      <c r="A2393" t="str">
        <f>"22200"</f>
        <v>22200</v>
      </c>
      <c r="B2393" t="s">
        <v>3378</v>
      </c>
      <c r="C2393" t="s">
        <v>3380</v>
      </c>
      <c r="D2393" t="str">
        <f>"3289"</f>
        <v>3289</v>
      </c>
      <c r="E2393" t="s">
        <v>821</v>
      </c>
    </row>
    <row r="2394" spans="1:5" x14ac:dyDescent="0.25">
      <c r="A2394" t="str">
        <f>"25160"</f>
        <v>25160</v>
      </c>
      <c r="B2394" t="s">
        <v>3381</v>
      </c>
      <c r="C2394" t="s">
        <v>3382</v>
      </c>
      <c r="D2394" t="str">
        <f>"3444"</f>
        <v>3444</v>
      </c>
      <c r="E2394" t="s">
        <v>818</v>
      </c>
    </row>
    <row r="2395" spans="1:5" x14ac:dyDescent="0.25">
      <c r="A2395" t="str">
        <f>"25160"</f>
        <v>25160</v>
      </c>
      <c r="B2395" t="s">
        <v>3381</v>
      </c>
      <c r="C2395" t="s">
        <v>3383</v>
      </c>
      <c r="D2395" t="str">
        <f>"2542"</f>
        <v>2542</v>
      </c>
      <c r="E2395" t="s">
        <v>821</v>
      </c>
    </row>
    <row r="2396" spans="1:5" x14ac:dyDescent="0.25">
      <c r="A2396" t="str">
        <f>"36901"</f>
        <v>36901</v>
      </c>
      <c r="B2396" t="s">
        <v>3384</v>
      </c>
      <c r="C2396" t="s">
        <v>3385</v>
      </c>
      <c r="D2396" t="str">
        <f>"5470"</f>
        <v>5470</v>
      </c>
      <c r="E2396" t="s">
        <v>830</v>
      </c>
    </row>
    <row r="2397" spans="1:5" x14ac:dyDescent="0.25">
      <c r="A2397" t="str">
        <f>"13167"</f>
        <v>13167</v>
      </c>
      <c r="B2397" t="s">
        <v>3386</v>
      </c>
      <c r="C2397" t="s">
        <v>3387</v>
      </c>
      <c r="D2397" t="str">
        <f>"2472"</f>
        <v>2472</v>
      </c>
      <c r="E2397" t="s">
        <v>818</v>
      </c>
    </row>
    <row r="2398" spans="1:5" x14ac:dyDescent="0.25">
      <c r="A2398" t="str">
        <f>"13167"</f>
        <v>13167</v>
      </c>
      <c r="B2398" t="s">
        <v>3386</v>
      </c>
      <c r="C2398" t="s">
        <v>3388</v>
      </c>
      <c r="D2398" t="str">
        <f>"2473"</f>
        <v>2473</v>
      </c>
      <c r="E2398" t="s">
        <v>821</v>
      </c>
    </row>
    <row r="2399" spans="1:5" x14ac:dyDescent="0.25">
      <c r="A2399" t="str">
        <f>"21232"</f>
        <v>21232</v>
      </c>
      <c r="B2399" t="s">
        <v>3389</v>
      </c>
      <c r="C2399" t="s">
        <v>3390</v>
      </c>
      <c r="D2399" t="str">
        <f>"4369"</f>
        <v>4369</v>
      </c>
      <c r="E2399" t="s">
        <v>830</v>
      </c>
    </row>
    <row r="2400" spans="1:5" x14ac:dyDescent="0.25">
      <c r="A2400" t="str">
        <f>"21232"</f>
        <v>21232</v>
      </c>
      <c r="B2400" t="s">
        <v>3389</v>
      </c>
      <c r="C2400" t="s">
        <v>3391</v>
      </c>
      <c r="D2400" t="str">
        <f>"2290"</f>
        <v>2290</v>
      </c>
      <c r="E2400" t="s">
        <v>818</v>
      </c>
    </row>
    <row r="2401" spans="1:5" x14ac:dyDescent="0.25">
      <c r="A2401" t="str">
        <f>"21232"</f>
        <v>21232</v>
      </c>
      <c r="B2401" t="s">
        <v>3389</v>
      </c>
      <c r="C2401" t="s">
        <v>3392</v>
      </c>
      <c r="D2401" t="str">
        <f>"3597"</f>
        <v>3597</v>
      </c>
      <c r="E2401" t="s">
        <v>824</v>
      </c>
    </row>
    <row r="2402" spans="1:5" x14ac:dyDescent="0.25">
      <c r="A2402" t="str">
        <f>"21232"</f>
        <v>21232</v>
      </c>
      <c r="B2402" t="s">
        <v>3389</v>
      </c>
      <c r="C2402" t="s">
        <v>3393</v>
      </c>
      <c r="D2402" t="str">
        <f>"1829"</f>
        <v>1829</v>
      </c>
      <c r="E2402" t="s">
        <v>824</v>
      </c>
    </row>
    <row r="2403" spans="1:5" x14ac:dyDescent="0.25">
      <c r="A2403" t="str">
        <f>"14117"</f>
        <v>14117</v>
      </c>
      <c r="B2403" t="s">
        <v>3394</v>
      </c>
      <c r="C2403" t="s">
        <v>3395</v>
      </c>
      <c r="D2403" t="str">
        <f>"3375"</f>
        <v>3375</v>
      </c>
      <c r="E2403" t="s">
        <v>859</v>
      </c>
    </row>
    <row r="2404" spans="1:5" x14ac:dyDescent="0.25">
      <c r="A2404" t="str">
        <f>"20094"</f>
        <v>20094</v>
      </c>
      <c r="B2404" t="s">
        <v>3396</v>
      </c>
      <c r="C2404" t="s">
        <v>3397</v>
      </c>
      <c r="D2404" t="str">
        <f>"2605"</f>
        <v>2605</v>
      </c>
      <c r="E2404" t="s">
        <v>851</v>
      </c>
    </row>
    <row r="2405" spans="1:5" x14ac:dyDescent="0.25">
      <c r="A2405" t="str">
        <f t="shared" ref="A2405:A2411" si="118">"08404"</f>
        <v>08404</v>
      </c>
      <c r="B2405" t="s">
        <v>3398</v>
      </c>
      <c r="C2405" t="s">
        <v>3399</v>
      </c>
      <c r="D2405" t="str">
        <f>"5246"</f>
        <v>5246</v>
      </c>
      <c r="E2405" t="s">
        <v>859</v>
      </c>
    </row>
    <row r="2406" spans="1:5" x14ac:dyDescent="0.25">
      <c r="A2406" t="str">
        <f t="shared" si="118"/>
        <v>08404</v>
      </c>
      <c r="B2406" t="s">
        <v>3398</v>
      </c>
      <c r="C2406" t="s">
        <v>3400</v>
      </c>
      <c r="D2406" t="str">
        <f>"1795"</f>
        <v>1795</v>
      </c>
      <c r="E2406" t="s">
        <v>824</v>
      </c>
    </row>
    <row r="2407" spans="1:5" x14ac:dyDescent="0.25">
      <c r="A2407" t="str">
        <f t="shared" si="118"/>
        <v>08404</v>
      </c>
      <c r="B2407" t="s">
        <v>3398</v>
      </c>
      <c r="C2407" t="s">
        <v>3401</v>
      </c>
      <c r="D2407" t="str">
        <f>"3546"</f>
        <v>3546</v>
      </c>
      <c r="E2407" t="s">
        <v>824</v>
      </c>
    </row>
    <row r="2408" spans="1:5" x14ac:dyDescent="0.25">
      <c r="A2408" t="str">
        <f t="shared" si="118"/>
        <v>08404</v>
      </c>
      <c r="B2408" t="s">
        <v>3398</v>
      </c>
      <c r="C2408" t="s">
        <v>3402</v>
      </c>
      <c r="D2408" t="str">
        <f>"5408"</f>
        <v>5408</v>
      </c>
      <c r="E2408" t="s">
        <v>818</v>
      </c>
    </row>
    <row r="2409" spans="1:5" x14ac:dyDescent="0.25">
      <c r="A2409" t="str">
        <f t="shared" si="118"/>
        <v>08404</v>
      </c>
      <c r="B2409" t="s">
        <v>3398</v>
      </c>
      <c r="C2409" t="s">
        <v>3403</v>
      </c>
      <c r="D2409" t="str">
        <f>"5409"</f>
        <v>5409</v>
      </c>
      <c r="E2409" t="s">
        <v>830</v>
      </c>
    </row>
    <row r="2410" spans="1:5" x14ac:dyDescent="0.25">
      <c r="A2410" t="str">
        <f t="shared" si="118"/>
        <v>08404</v>
      </c>
      <c r="B2410" t="s">
        <v>3398</v>
      </c>
      <c r="C2410" t="s">
        <v>3404</v>
      </c>
      <c r="D2410" t="str">
        <f>"5407"</f>
        <v>5407</v>
      </c>
      <c r="E2410" t="s">
        <v>818</v>
      </c>
    </row>
    <row r="2411" spans="1:5" x14ac:dyDescent="0.25">
      <c r="A2411" t="str">
        <f t="shared" si="118"/>
        <v>08404</v>
      </c>
      <c r="B2411" t="s">
        <v>3398</v>
      </c>
      <c r="C2411" t="s">
        <v>3405</v>
      </c>
      <c r="D2411" t="str">
        <f>"3513"</f>
        <v>3513</v>
      </c>
      <c r="E2411" t="s">
        <v>818</v>
      </c>
    </row>
    <row r="2412" spans="1:5" x14ac:dyDescent="0.25">
      <c r="A2412" t="str">
        <f>"39901"</f>
        <v>39901</v>
      </c>
      <c r="B2412" t="s">
        <v>3406</v>
      </c>
      <c r="C2412" t="s">
        <v>3407</v>
      </c>
      <c r="D2412" t="str">
        <f>"5550"</f>
        <v>5550</v>
      </c>
      <c r="E2412" t="s">
        <v>859</v>
      </c>
    </row>
    <row r="2413" spans="1:5" x14ac:dyDescent="0.25">
      <c r="A2413" t="str">
        <f t="shared" ref="A2413:A2441" si="119">"39007"</f>
        <v>39007</v>
      </c>
      <c r="B2413" t="s">
        <v>3408</v>
      </c>
      <c r="C2413" t="s">
        <v>2694</v>
      </c>
      <c r="D2413" t="str">
        <f>"2592"</f>
        <v>2592</v>
      </c>
      <c r="E2413" t="s">
        <v>818</v>
      </c>
    </row>
    <row r="2414" spans="1:5" x14ac:dyDescent="0.25">
      <c r="A2414" t="str">
        <f t="shared" si="119"/>
        <v>39007</v>
      </c>
      <c r="B2414" t="s">
        <v>3408</v>
      </c>
      <c r="C2414" t="s">
        <v>3409</v>
      </c>
      <c r="D2414" t="str">
        <f>"3138"</f>
        <v>3138</v>
      </c>
      <c r="E2414" t="s">
        <v>818</v>
      </c>
    </row>
    <row r="2415" spans="1:5" x14ac:dyDescent="0.25">
      <c r="A2415" t="str">
        <f t="shared" si="119"/>
        <v>39007</v>
      </c>
      <c r="B2415" t="s">
        <v>3408</v>
      </c>
      <c r="C2415" t="s">
        <v>3410</v>
      </c>
      <c r="D2415" t="str">
        <f>"2116"</f>
        <v>2116</v>
      </c>
      <c r="E2415" t="s">
        <v>824</v>
      </c>
    </row>
    <row r="2416" spans="1:5" x14ac:dyDescent="0.25">
      <c r="A2416" t="str">
        <f t="shared" si="119"/>
        <v>39007</v>
      </c>
      <c r="B2416" t="s">
        <v>3408</v>
      </c>
      <c r="C2416" t="s">
        <v>3411</v>
      </c>
      <c r="D2416" t="str">
        <f>"3023"</f>
        <v>3023</v>
      </c>
      <c r="E2416" t="s">
        <v>821</v>
      </c>
    </row>
    <row r="2417" spans="1:5" x14ac:dyDescent="0.25">
      <c r="A2417" t="str">
        <f t="shared" si="119"/>
        <v>39007</v>
      </c>
      <c r="B2417" t="s">
        <v>3408</v>
      </c>
      <c r="C2417" t="s">
        <v>1392</v>
      </c>
      <c r="D2417" t="str">
        <f>"5019"</f>
        <v>5019</v>
      </c>
      <c r="E2417" t="s">
        <v>826</v>
      </c>
    </row>
    <row r="2418" spans="1:5" x14ac:dyDescent="0.25">
      <c r="A2418" t="str">
        <f t="shared" si="119"/>
        <v>39007</v>
      </c>
      <c r="B2418" t="s">
        <v>3408</v>
      </c>
      <c r="C2418" t="s">
        <v>3412</v>
      </c>
      <c r="D2418" t="str">
        <f>"3206"</f>
        <v>3206</v>
      </c>
      <c r="E2418" t="s">
        <v>824</v>
      </c>
    </row>
    <row r="2419" spans="1:5" x14ac:dyDescent="0.25">
      <c r="A2419" t="str">
        <f t="shared" si="119"/>
        <v>39007</v>
      </c>
      <c r="B2419" t="s">
        <v>3408</v>
      </c>
      <c r="C2419" t="s">
        <v>3413</v>
      </c>
      <c r="D2419" t="str">
        <f>"2410"</f>
        <v>2410</v>
      </c>
      <c r="E2419" t="s">
        <v>830</v>
      </c>
    </row>
    <row r="2420" spans="1:5" x14ac:dyDescent="0.25">
      <c r="A2420" t="str">
        <f t="shared" si="119"/>
        <v>39007</v>
      </c>
      <c r="B2420" t="s">
        <v>3408</v>
      </c>
      <c r="C2420" t="s">
        <v>1478</v>
      </c>
      <c r="D2420" t="str">
        <f>"2176"</f>
        <v>2176</v>
      </c>
      <c r="E2420" t="s">
        <v>818</v>
      </c>
    </row>
    <row r="2421" spans="1:5" x14ac:dyDescent="0.25">
      <c r="A2421" t="str">
        <f t="shared" si="119"/>
        <v>39007</v>
      </c>
      <c r="B2421" t="s">
        <v>3408</v>
      </c>
      <c r="C2421" t="s">
        <v>3414</v>
      </c>
      <c r="D2421" t="str">
        <f>"2818"</f>
        <v>2818</v>
      </c>
      <c r="E2421" t="s">
        <v>818</v>
      </c>
    </row>
    <row r="2422" spans="1:5" x14ac:dyDescent="0.25">
      <c r="A2422" t="str">
        <f t="shared" si="119"/>
        <v>39007</v>
      </c>
      <c r="B2422" t="s">
        <v>3408</v>
      </c>
      <c r="C2422" t="s">
        <v>3415</v>
      </c>
      <c r="D2422" t="str">
        <f>"2715"</f>
        <v>2715</v>
      </c>
      <c r="E2422" t="s">
        <v>818</v>
      </c>
    </row>
    <row r="2423" spans="1:5" x14ac:dyDescent="0.25">
      <c r="A2423" t="str">
        <f t="shared" si="119"/>
        <v>39007</v>
      </c>
      <c r="B2423" t="s">
        <v>3408</v>
      </c>
      <c r="C2423" t="s">
        <v>3416</v>
      </c>
      <c r="D2423" t="str">
        <f>"4092"</f>
        <v>4092</v>
      </c>
      <c r="E2423" t="s">
        <v>821</v>
      </c>
    </row>
    <row r="2424" spans="1:5" x14ac:dyDescent="0.25">
      <c r="A2424" t="str">
        <f t="shared" si="119"/>
        <v>39007</v>
      </c>
      <c r="B2424" t="s">
        <v>3408</v>
      </c>
      <c r="C2424" t="s">
        <v>3417</v>
      </c>
      <c r="D2424" t="str">
        <f>"3615"</f>
        <v>3615</v>
      </c>
      <c r="E2424" t="s">
        <v>830</v>
      </c>
    </row>
    <row r="2425" spans="1:5" x14ac:dyDescent="0.25">
      <c r="A2425" t="str">
        <f t="shared" si="119"/>
        <v>39007</v>
      </c>
      <c r="B2425" t="s">
        <v>3408</v>
      </c>
      <c r="C2425" t="s">
        <v>3418</v>
      </c>
      <c r="D2425" t="str">
        <f>"3817"</f>
        <v>3817</v>
      </c>
      <c r="E2425" t="s">
        <v>818</v>
      </c>
    </row>
    <row r="2426" spans="1:5" x14ac:dyDescent="0.25">
      <c r="A2426" t="str">
        <f t="shared" si="119"/>
        <v>39007</v>
      </c>
      <c r="B2426" t="s">
        <v>3408</v>
      </c>
      <c r="C2426" t="s">
        <v>3419</v>
      </c>
      <c r="D2426" t="str">
        <f>"2899"</f>
        <v>2899</v>
      </c>
      <c r="E2426" t="s">
        <v>818</v>
      </c>
    </row>
    <row r="2427" spans="1:5" x14ac:dyDescent="0.25">
      <c r="A2427" t="str">
        <f t="shared" si="119"/>
        <v>39007</v>
      </c>
      <c r="B2427" t="s">
        <v>3408</v>
      </c>
      <c r="C2427" t="s">
        <v>3420</v>
      </c>
      <c r="D2427" t="str">
        <f>"2177"</f>
        <v>2177</v>
      </c>
      <c r="E2427" t="s">
        <v>818</v>
      </c>
    </row>
    <row r="2428" spans="1:5" x14ac:dyDescent="0.25">
      <c r="A2428" t="str">
        <f t="shared" si="119"/>
        <v>39007</v>
      </c>
      <c r="B2428" t="s">
        <v>3408</v>
      </c>
      <c r="C2428" t="s">
        <v>3421</v>
      </c>
      <c r="D2428" t="str">
        <f>"2819"</f>
        <v>2819</v>
      </c>
      <c r="E2428" t="s">
        <v>818</v>
      </c>
    </row>
    <row r="2429" spans="1:5" x14ac:dyDescent="0.25">
      <c r="A2429" t="str">
        <f t="shared" si="119"/>
        <v>39007</v>
      </c>
      <c r="B2429" t="s">
        <v>3408</v>
      </c>
      <c r="C2429" t="s">
        <v>2960</v>
      </c>
      <c r="D2429" t="str">
        <f>"2433"</f>
        <v>2433</v>
      </c>
      <c r="E2429" t="s">
        <v>818</v>
      </c>
    </row>
    <row r="2430" spans="1:5" x14ac:dyDescent="0.25">
      <c r="A2430" t="str">
        <f t="shared" si="119"/>
        <v>39007</v>
      </c>
      <c r="B2430" t="s">
        <v>3408</v>
      </c>
      <c r="C2430" t="s">
        <v>3422</v>
      </c>
      <c r="D2430" t="str">
        <f>"5264"</f>
        <v>5264</v>
      </c>
      <c r="E2430" t="s">
        <v>821</v>
      </c>
    </row>
    <row r="2431" spans="1:5" x14ac:dyDescent="0.25">
      <c r="A2431" t="str">
        <f t="shared" si="119"/>
        <v>39007</v>
      </c>
      <c r="B2431" t="s">
        <v>3408</v>
      </c>
      <c r="C2431" t="s">
        <v>3423</v>
      </c>
      <c r="D2431" t="str">
        <f>"3264"</f>
        <v>3264</v>
      </c>
      <c r="E2431" t="s">
        <v>818</v>
      </c>
    </row>
    <row r="2432" spans="1:5" x14ac:dyDescent="0.25">
      <c r="A2432" t="str">
        <f t="shared" si="119"/>
        <v>39007</v>
      </c>
      <c r="B2432" t="s">
        <v>3408</v>
      </c>
      <c r="C2432" t="s">
        <v>974</v>
      </c>
      <c r="D2432" t="str">
        <f>"2529"</f>
        <v>2529</v>
      </c>
      <c r="E2432" t="s">
        <v>818</v>
      </c>
    </row>
    <row r="2433" spans="1:5" x14ac:dyDescent="0.25">
      <c r="A2433" t="str">
        <f t="shared" si="119"/>
        <v>39007</v>
      </c>
      <c r="B2433" t="s">
        <v>3408</v>
      </c>
      <c r="C2433" t="s">
        <v>3424</v>
      </c>
      <c r="D2433" t="str">
        <f>"4093"</f>
        <v>4093</v>
      </c>
      <c r="E2433" t="s">
        <v>824</v>
      </c>
    </row>
    <row r="2434" spans="1:5" x14ac:dyDescent="0.25">
      <c r="A2434" t="str">
        <f t="shared" si="119"/>
        <v>39007</v>
      </c>
      <c r="B2434" t="s">
        <v>3408</v>
      </c>
      <c r="C2434" t="s">
        <v>2395</v>
      </c>
      <c r="D2434" t="str">
        <f>"2314"</f>
        <v>2314</v>
      </c>
      <c r="E2434" t="s">
        <v>830</v>
      </c>
    </row>
    <row r="2435" spans="1:5" x14ac:dyDescent="0.25">
      <c r="A2435" t="str">
        <f t="shared" si="119"/>
        <v>39007</v>
      </c>
      <c r="B2435" t="s">
        <v>3408</v>
      </c>
      <c r="C2435" t="s">
        <v>3425</v>
      </c>
      <c r="D2435" t="str">
        <f>"3312"</f>
        <v>3312</v>
      </c>
      <c r="E2435" t="s">
        <v>818</v>
      </c>
    </row>
    <row r="2436" spans="1:5" x14ac:dyDescent="0.25">
      <c r="A2436" t="str">
        <f t="shared" si="119"/>
        <v>39007</v>
      </c>
      <c r="B2436" t="s">
        <v>3408</v>
      </c>
      <c r="C2436" t="s">
        <v>3426</v>
      </c>
      <c r="D2436" t="str">
        <f>"3368"</f>
        <v>3368</v>
      </c>
      <c r="E2436" t="s">
        <v>830</v>
      </c>
    </row>
    <row r="2437" spans="1:5" x14ac:dyDescent="0.25">
      <c r="A2437" t="str">
        <f t="shared" si="119"/>
        <v>39007</v>
      </c>
      <c r="B2437" t="s">
        <v>3408</v>
      </c>
      <c r="C2437" t="s">
        <v>3427</v>
      </c>
      <c r="D2437" t="str">
        <f>"5263"</f>
        <v>5263</v>
      </c>
      <c r="E2437" t="s">
        <v>821</v>
      </c>
    </row>
    <row r="2438" spans="1:5" x14ac:dyDescent="0.25">
      <c r="A2438" t="str">
        <f t="shared" si="119"/>
        <v>39007</v>
      </c>
      <c r="B2438" t="s">
        <v>3408</v>
      </c>
      <c r="C2438" t="s">
        <v>3428</v>
      </c>
      <c r="D2438" t="str">
        <f>"5153"</f>
        <v>5153</v>
      </c>
      <c r="E2438" t="s">
        <v>821</v>
      </c>
    </row>
    <row r="2439" spans="1:5" x14ac:dyDescent="0.25">
      <c r="A2439" t="str">
        <f t="shared" si="119"/>
        <v>39007</v>
      </c>
      <c r="B2439" t="s">
        <v>3408</v>
      </c>
      <c r="C2439" t="s">
        <v>3429</v>
      </c>
      <c r="D2439" t="str">
        <f>"5355"</f>
        <v>5355</v>
      </c>
      <c r="E2439" t="s">
        <v>824</v>
      </c>
    </row>
    <row r="2440" spans="1:5" x14ac:dyDescent="0.25">
      <c r="A2440" t="str">
        <f t="shared" si="119"/>
        <v>39007</v>
      </c>
      <c r="B2440" t="s">
        <v>3408</v>
      </c>
      <c r="C2440" t="s">
        <v>3430</v>
      </c>
      <c r="D2440" t="str">
        <f>"5224"</f>
        <v>5224</v>
      </c>
      <c r="E2440" t="s">
        <v>824</v>
      </c>
    </row>
    <row r="2441" spans="1:5" x14ac:dyDescent="0.25">
      <c r="A2441" t="str">
        <f t="shared" si="119"/>
        <v>39007</v>
      </c>
      <c r="B2441" t="s">
        <v>3408</v>
      </c>
      <c r="C2441" t="s">
        <v>3431</v>
      </c>
      <c r="D2441" t="str">
        <f>"4020"</f>
        <v>4020</v>
      </c>
      <c r="E2441" t="s">
        <v>824</v>
      </c>
    </row>
    <row r="2442" spans="1:5" x14ac:dyDescent="0.25">
      <c r="A2442" t="str">
        <f t="shared" ref="A2442:A2451" si="120">"34002"</f>
        <v>34002</v>
      </c>
      <c r="B2442" t="s">
        <v>3432</v>
      </c>
      <c r="C2442" t="s">
        <v>3433</v>
      </c>
      <c r="D2442" t="str">
        <f>"4346"</f>
        <v>4346</v>
      </c>
      <c r="E2442" t="s">
        <v>818</v>
      </c>
    </row>
    <row r="2443" spans="1:5" x14ac:dyDescent="0.25">
      <c r="A2443" t="str">
        <f t="shared" si="120"/>
        <v>34002</v>
      </c>
      <c r="B2443" t="s">
        <v>3432</v>
      </c>
      <c r="C2443" t="s">
        <v>3434</v>
      </c>
      <c r="D2443" t="str">
        <f>"5018"</f>
        <v>5018</v>
      </c>
      <c r="E2443" t="s">
        <v>818</v>
      </c>
    </row>
    <row r="2444" spans="1:5" x14ac:dyDescent="0.25">
      <c r="A2444" t="str">
        <f t="shared" si="120"/>
        <v>34002</v>
      </c>
      <c r="B2444" t="s">
        <v>3432</v>
      </c>
      <c r="C2444" t="s">
        <v>3435</v>
      </c>
      <c r="D2444" t="str">
        <f>"2260"</f>
        <v>2260</v>
      </c>
      <c r="E2444" t="s">
        <v>818</v>
      </c>
    </row>
    <row r="2445" spans="1:5" x14ac:dyDescent="0.25">
      <c r="A2445" t="str">
        <f t="shared" si="120"/>
        <v>34002</v>
      </c>
      <c r="B2445" t="s">
        <v>3432</v>
      </c>
      <c r="C2445" t="s">
        <v>3436</v>
      </c>
      <c r="D2445" t="str">
        <f>"4451"</f>
        <v>4451</v>
      </c>
      <c r="E2445" t="s">
        <v>818</v>
      </c>
    </row>
    <row r="2446" spans="1:5" x14ac:dyDescent="0.25">
      <c r="A2446" t="str">
        <f t="shared" si="120"/>
        <v>34002</v>
      </c>
      <c r="B2446" t="s">
        <v>3432</v>
      </c>
      <c r="C2446" t="s">
        <v>3437</v>
      </c>
      <c r="D2446" t="str">
        <f>"5052"</f>
        <v>5052</v>
      </c>
      <c r="E2446" t="s">
        <v>830</v>
      </c>
    </row>
    <row r="2447" spans="1:5" x14ac:dyDescent="0.25">
      <c r="A2447" t="str">
        <f t="shared" si="120"/>
        <v>34002</v>
      </c>
      <c r="B2447" t="s">
        <v>3432</v>
      </c>
      <c r="C2447" t="s">
        <v>3438</v>
      </c>
      <c r="D2447" t="str">
        <f>"3848"</f>
        <v>3848</v>
      </c>
      <c r="E2447" t="s">
        <v>818</v>
      </c>
    </row>
    <row r="2448" spans="1:5" x14ac:dyDescent="0.25">
      <c r="A2448" t="str">
        <f t="shared" si="120"/>
        <v>34002</v>
      </c>
      <c r="B2448" t="s">
        <v>3432</v>
      </c>
      <c r="C2448" t="s">
        <v>3439</v>
      </c>
      <c r="D2448" t="str">
        <f>"1627"</f>
        <v>1627</v>
      </c>
      <c r="E2448" t="s">
        <v>824</v>
      </c>
    </row>
    <row r="2449" spans="1:5" x14ac:dyDescent="0.25">
      <c r="A2449" t="str">
        <f t="shared" si="120"/>
        <v>34002</v>
      </c>
      <c r="B2449" t="s">
        <v>3432</v>
      </c>
      <c r="C2449" t="s">
        <v>3440</v>
      </c>
      <c r="D2449" t="str">
        <f>"2633"</f>
        <v>2633</v>
      </c>
      <c r="E2449" t="s">
        <v>824</v>
      </c>
    </row>
    <row r="2450" spans="1:5" x14ac:dyDescent="0.25">
      <c r="A2450" t="str">
        <f t="shared" si="120"/>
        <v>34002</v>
      </c>
      <c r="B2450" t="s">
        <v>3432</v>
      </c>
      <c r="C2450" t="s">
        <v>3441</v>
      </c>
      <c r="D2450" t="str">
        <f>"2481"</f>
        <v>2481</v>
      </c>
      <c r="E2450" t="s">
        <v>830</v>
      </c>
    </row>
    <row r="2451" spans="1:5" x14ac:dyDescent="0.25">
      <c r="A2451" t="str">
        <f t="shared" si="120"/>
        <v>34002</v>
      </c>
      <c r="B2451" t="s">
        <v>3432</v>
      </c>
      <c r="C2451" t="s">
        <v>3442</v>
      </c>
      <c r="D2451" t="str">
        <f>"4224"</f>
        <v>4224</v>
      </c>
      <c r="E2451" t="s">
        <v>818</v>
      </c>
    </row>
    <row r="2452" spans="1:5" x14ac:dyDescent="0.25">
      <c r="A2452" t="str">
        <f>"39205"</f>
        <v>39205</v>
      </c>
      <c r="B2452" t="s">
        <v>3443</v>
      </c>
      <c r="C2452" t="s">
        <v>3444</v>
      </c>
      <c r="D2452" t="str">
        <f>"2783"</f>
        <v>2783</v>
      </c>
      <c r="E2452" t="s">
        <v>818</v>
      </c>
    </row>
    <row r="2453" spans="1:5" x14ac:dyDescent="0.25">
      <c r="A2453" t="str">
        <f>"39205"</f>
        <v>39205</v>
      </c>
      <c r="B2453" t="s">
        <v>3443</v>
      </c>
      <c r="C2453" t="s">
        <v>3445</v>
      </c>
      <c r="D2453" t="str">
        <f>"2240"</f>
        <v>2240</v>
      </c>
      <c r="E2453" t="s">
        <v>824</v>
      </c>
    </row>
    <row r="2454" spans="1:5" x14ac:dyDescent="0.25">
      <c r="A2454" t="str">
        <f>"39205"</f>
        <v>39205</v>
      </c>
      <c r="B2454" t="s">
        <v>3443</v>
      </c>
      <c r="C2454" t="s">
        <v>3446</v>
      </c>
      <c r="D2454" t="str">
        <f>"4221"</f>
        <v>4221</v>
      </c>
      <c r="E2454" t="s">
        <v>818</v>
      </c>
    </row>
    <row r="2455" spans="1:5" x14ac:dyDescent="0.25">
      <c r="A2455" t="str">
        <f>"39205"</f>
        <v>39205</v>
      </c>
      <c r="B2455" t="s">
        <v>3443</v>
      </c>
      <c r="C2455" t="s">
        <v>3447</v>
      </c>
      <c r="D2455" t="str">
        <f>"4481"</f>
        <v>4481</v>
      </c>
      <c r="E2455" t="s">
        <v>830</v>
      </c>
    </row>
  </sheetData>
  <autoFilter ref="A1:E2455"/>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3"/>
  <sheetViews>
    <sheetView workbookViewId="0">
      <selection activeCell="E5" sqref="E5"/>
    </sheetView>
  </sheetViews>
  <sheetFormatPr defaultRowHeight="15" x14ac:dyDescent="0.25"/>
  <cols>
    <col min="1" max="1" width="38.7109375" customWidth="1"/>
    <col min="2" max="2" width="16.42578125" style="100" customWidth="1"/>
    <col min="3" max="3" width="31.42578125" customWidth="1"/>
    <col min="4" max="4" width="11.28515625" style="100" customWidth="1"/>
  </cols>
  <sheetData>
    <row r="1" spans="1:4" ht="55.5" customHeight="1" x14ac:dyDescent="0.25">
      <c r="A1" s="5" t="s">
        <v>4399</v>
      </c>
      <c r="B1" s="101" t="s">
        <v>3483</v>
      </c>
      <c r="C1" s="5" t="s">
        <v>4397</v>
      </c>
      <c r="D1" s="101" t="s">
        <v>3493</v>
      </c>
    </row>
    <row r="2" spans="1:4" x14ac:dyDescent="0.25">
      <c r="A2" t="s">
        <v>3797</v>
      </c>
      <c r="B2" s="100" t="s">
        <v>3798</v>
      </c>
      <c r="C2" t="s">
        <v>3171</v>
      </c>
      <c r="D2" s="100">
        <v>17406</v>
      </c>
    </row>
    <row r="3" spans="1:4" x14ac:dyDescent="0.25">
      <c r="A3" t="s">
        <v>3799</v>
      </c>
      <c r="B3" s="100">
        <v>1483</v>
      </c>
      <c r="C3" t="s">
        <v>2693</v>
      </c>
      <c r="D3" s="100">
        <v>17001</v>
      </c>
    </row>
    <row r="4" spans="1:4" x14ac:dyDescent="0.25">
      <c r="A4" t="s">
        <v>3800</v>
      </c>
      <c r="B4" s="100" t="s">
        <v>3801</v>
      </c>
      <c r="C4" t="s">
        <v>2048</v>
      </c>
      <c r="D4" s="100">
        <v>31025</v>
      </c>
    </row>
    <row r="5" spans="1:4" x14ac:dyDescent="0.25">
      <c r="A5" t="s">
        <v>3802</v>
      </c>
      <c r="B5" s="100">
        <v>8240</v>
      </c>
      <c r="C5" t="s">
        <v>3171</v>
      </c>
      <c r="D5" s="100">
        <v>17406</v>
      </c>
    </row>
    <row r="6" spans="1:4" x14ac:dyDescent="0.25">
      <c r="A6" t="s">
        <v>3803</v>
      </c>
      <c r="B6" s="100">
        <v>8946</v>
      </c>
      <c r="C6" t="s">
        <v>957</v>
      </c>
      <c r="D6" s="100">
        <v>37501</v>
      </c>
    </row>
    <row r="7" spans="1:4" x14ac:dyDescent="0.25">
      <c r="A7" t="s">
        <v>3804</v>
      </c>
      <c r="B7" s="100">
        <v>8128</v>
      </c>
      <c r="C7" t="s">
        <v>2527</v>
      </c>
      <c r="D7" s="100">
        <v>27003</v>
      </c>
    </row>
    <row r="8" spans="1:4" x14ac:dyDescent="0.25">
      <c r="A8" t="s">
        <v>3804</v>
      </c>
      <c r="B8" s="100">
        <v>8196</v>
      </c>
      <c r="C8" t="s">
        <v>2926</v>
      </c>
      <c r="D8" s="100">
        <v>32081</v>
      </c>
    </row>
    <row r="9" spans="1:4" x14ac:dyDescent="0.25">
      <c r="A9" t="s">
        <v>3805</v>
      </c>
      <c r="B9" s="100">
        <v>8654</v>
      </c>
      <c r="C9" t="s">
        <v>925</v>
      </c>
      <c r="D9" s="100">
        <v>17405</v>
      </c>
    </row>
    <row r="10" spans="1:4" x14ac:dyDescent="0.25">
      <c r="A10" t="s">
        <v>3806</v>
      </c>
      <c r="B10" s="100">
        <v>8130</v>
      </c>
      <c r="C10" t="s">
        <v>3059</v>
      </c>
      <c r="D10" s="100">
        <v>27010</v>
      </c>
    </row>
    <row r="11" spans="1:4" x14ac:dyDescent="0.25">
      <c r="A11" t="s">
        <v>3807</v>
      </c>
      <c r="B11" s="100">
        <v>8479</v>
      </c>
      <c r="C11" t="s">
        <v>1742</v>
      </c>
      <c r="D11" s="100">
        <v>17411</v>
      </c>
    </row>
    <row r="12" spans="1:4" x14ac:dyDescent="0.25">
      <c r="A12" t="s">
        <v>3808</v>
      </c>
      <c r="B12" s="100">
        <v>8883</v>
      </c>
      <c r="C12" t="s">
        <v>1471</v>
      </c>
      <c r="D12" s="100">
        <v>31002</v>
      </c>
    </row>
    <row r="13" spans="1:4" x14ac:dyDescent="0.25">
      <c r="A13" t="s">
        <v>3809</v>
      </c>
      <c r="B13" s="100">
        <v>8371</v>
      </c>
      <c r="C13" t="s">
        <v>1973</v>
      </c>
      <c r="D13" s="100">
        <v>31306</v>
      </c>
    </row>
    <row r="14" spans="1:4" x14ac:dyDescent="0.25">
      <c r="A14" t="s">
        <v>3810</v>
      </c>
      <c r="B14" s="100" t="s">
        <v>3811</v>
      </c>
      <c r="C14" t="s">
        <v>925</v>
      </c>
      <c r="D14" s="100">
        <v>17405</v>
      </c>
    </row>
    <row r="15" spans="1:4" x14ac:dyDescent="0.25">
      <c r="A15" t="s">
        <v>3812</v>
      </c>
      <c r="B15" s="100">
        <v>8215</v>
      </c>
      <c r="C15" t="s">
        <v>957</v>
      </c>
      <c r="D15" s="100">
        <v>37501</v>
      </c>
    </row>
    <row r="16" spans="1:4" x14ac:dyDescent="0.25">
      <c r="A16" t="s">
        <v>3813</v>
      </c>
      <c r="B16" s="100">
        <v>8175</v>
      </c>
      <c r="C16" t="s">
        <v>2926</v>
      </c>
      <c r="D16" s="100">
        <v>32081</v>
      </c>
    </row>
    <row r="17" spans="1:4" x14ac:dyDescent="0.25">
      <c r="A17" t="s">
        <v>3814</v>
      </c>
      <c r="B17" s="100">
        <v>8028</v>
      </c>
      <c r="C17" t="s">
        <v>2693</v>
      </c>
      <c r="D17" s="100">
        <v>17001</v>
      </c>
    </row>
    <row r="18" spans="1:4" x14ac:dyDescent="0.25">
      <c r="A18" t="s">
        <v>3815</v>
      </c>
      <c r="B18" s="100">
        <v>8212</v>
      </c>
      <c r="C18" t="s">
        <v>3272</v>
      </c>
      <c r="D18" s="100">
        <v>36140</v>
      </c>
    </row>
    <row r="19" spans="1:4" x14ac:dyDescent="0.25">
      <c r="A19" t="s">
        <v>3816</v>
      </c>
      <c r="B19" s="100">
        <v>8096</v>
      </c>
      <c r="C19" t="s">
        <v>864</v>
      </c>
      <c r="D19" s="100">
        <v>17408</v>
      </c>
    </row>
    <row r="20" spans="1:4" x14ac:dyDescent="0.25">
      <c r="A20" t="s">
        <v>3817</v>
      </c>
      <c r="B20" s="100" t="s">
        <v>3818</v>
      </c>
      <c r="C20" t="s">
        <v>1820</v>
      </c>
      <c r="D20" s="100">
        <v>17415</v>
      </c>
    </row>
    <row r="21" spans="1:4" x14ac:dyDescent="0.25">
      <c r="A21" t="s">
        <v>3819</v>
      </c>
      <c r="B21" s="100" t="s">
        <v>3820</v>
      </c>
      <c r="C21" t="s">
        <v>2926</v>
      </c>
      <c r="D21" s="100">
        <v>32081</v>
      </c>
    </row>
    <row r="22" spans="1:4" x14ac:dyDescent="0.25">
      <c r="A22" t="s">
        <v>3821</v>
      </c>
      <c r="B22" s="100">
        <v>1460</v>
      </c>
      <c r="C22" t="s">
        <v>925</v>
      </c>
      <c r="D22" s="100">
        <v>17405</v>
      </c>
    </row>
    <row r="23" spans="1:4" x14ac:dyDescent="0.25">
      <c r="A23" t="s">
        <v>3822</v>
      </c>
      <c r="B23" s="100">
        <v>8132</v>
      </c>
      <c r="C23" t="s">
        <v>3059</v>
      </c>
      <c r="D23" s="100">
        <v>27010</v>
      </c>
    </row>
    <row r="24" spans="1:4" x14ac:dyDescent="0.25">
      <c r="A24" t="s">
        <v>3823</v>
      </c>
      <c r="B24" s="100" t="s">
        <v>3824</v>
      </c>
      <c r="C24" t="s">
        <v>925</v>
      </c>
      <c r="D24" s="100">
        <v>17405</v>
      </c>
    </row>
    <row r="25" spans="1:4" x14ac:dyDescent="0.25">
      <c r="A25" t="s">
        <v>3825</v>
      </c>
      <c r="B25" s="100">
        <v>8091</v>
      </c>
      <c r="C25" t="s">
        <v>925</v>
      </c>
      <c r="D25" s="100">
        <v>17405</v>
      </c>
    </row>
    <row r="26" spans="1:4" x14ac:dyDescent="0.25">
      <c r="A26" t="s">
        <v>3826</v>
      </c>
      <c r="B26" s="100">
        <v>8336</v>
      </c>
      <c r="C26" t="s">
        <v>925</v>
      </c>
      <c r="D26" s="100">
        <v>17405</v>
      </c>
    </row>
    <row r="27" spans="1:4" x14ac:dyDescent="0.25">
      <c r="A27" t="s">
        <v>3827</v>
      </c>
      <c r="B27" s="100">
        <v>8216</v>
      </c>
      <c r="C27" t="s">
        <v>957</v>
      </c>
      <c r="D27" s="100">
        <v>37501</v>
      </c>
    </row>
    <row r="28" spans="1:4" x14ac:dyDescent="0.25">
      <c r="A28" t="s">
        <v>3828</v>
      </c>
      <c r="B28" s="100">
        <v>8432</v>
      </c>
      <c r="C28" t="s">
        <v>2693</v>
      </c>
      <c r="D28" s="100">
        <v>17001</v>
      </c>
    </row>
    <row r="29" spans="1:4" x14ac:dyDescent="0.25">
      <c r="A29" t="s">
        <v>3829</v>
      </c>
      <c r="B29" s="100">
        <v>8373</v>
      </c>
      <c r="C29" t="s">
        <v>2900</v>
      </c>
      <c r="D29" s="100">
        <v>18402</v>
      </c>
    </row>
    <row r="30" spans="1:4" x14ac:dyDescent="0.25">
      <c r="A30" t="s">
        <v>3830</v>
      </c>
      <c r="B30" s="100">
        <v>8001</v>
      </c>
      <c r="C30" t="s">
        <v>1791</v>
      </c>
      <c r="D30" s="100">
        <v>3017</v>
      </c>
    </row>
    <row r="31" spans="1:4" x14ac:dyDescent="0.25">
      <c r="A31" t="s">
        <v>3831</v>
      </c>
      <c r="B31" s="100" t="s">
        <v>3832</v>
      </c>
      <c r="C31" t="s">
        <v>1989</v>
      </c>
      <c r="D31" s="100">
        <v>8122</v>
      </c>
    </row>
    <row r="32" spans="1:4" x14ac:dyDescent="0.25">
      <c r="A32" t="s">
        <v>3833</v>
      </c>
      <c r="B32" s="100">
        <v>8530</v>
      </c>
      <c r="C32" t="s">
        <v>2693</v>
      </c>
      <c r="D32" s="100">
        <v>17001</v>
      </c>
    </row>
    <row r="33" spans="1:4" x14ac:dyDescent="0.25">
      <c r="A33" t="s">
        <v>3834</v>
      </c>
      <c r="B33" s="100">
        <v>8029</v>
      </c>
      <c r="C33" t="s">
        <v>2693</v>
      </c>
      <c r="D33" s="100">
        <v>17001</v>
      </c>
    </row>
    <row r="34" spans="1:4" x14ac:dyDescent="0.25">
      <c r="A34" t="s">
        <v>3835</v>
      </c>
      <c r="B34" s="100" t="s">
        <v>3836</v>
      </c>
      <c r="C34" t="s">
        <v>925</v>
      </c>
      <c r="D34" s="100">
        <v>17405</v>
      </c>
    </row>
    <row r="35" spans="1:4" x14ac:dyDescent="0.25">
      <c r="A35" t="s">
        <v>3837</v>
      </c>
      <c r="B35" s="100" t="s">
        <v>3838</v>
      </c>
      <c r="C35" t="s">
        <v>3127</v>
      </c>
      <c r="D35" s="100">
        <v>17409</v>
      </c>
    </row>
    <row r="36" spans="1:4" x14ac:dyDescent="0.25">
      <c r="A36" t="s">
        <v>3839</v>
      </c>
      <c r="B36" s="100" t="s">
        <v>3840</v>
      </c>
      <c r="C36" t="s">
        <v>1046</v>
      </c>
      <c r="D36" s="100">
        <v>24111</v>
      </c>
    </row>
    <row r="37" spans="1:4" x14ac:dyDescent="0.25">
      <c r="A37" t="s">
        <v>3841</v>
      </c>
      <c r="B37" s="100">
        <v>1422</v>
      </c>
      <c r="C37" t="s">
        <v>2693</v>
      </c>
      <c r="D37" s="100">
        <v>17001</v>
      </c>
    </row>
    <row r="38" spans="1:4" x14ac:dyDescent="0.25">
      <c r="A38" t="s">
        <v>3842</v>
      </c>
      <c r="B38" s="100">
        <v>8534</v>
      </c>
      <c r="C38" t="s">
        <v>1918</v>
      </c>
      <c r="D38" s="100">
        <v>17414</v>
      </c>
    </row>
    <row r="39" spans="1:4" x14ac:dyDescent="0.25">
      <c r="A39" t="s">
        <v>3843</v>
      </c>
      <c r="B39" s="100">
        <v>1406</v>
      </c>
      <c r="C39" t="s">
        <v>1742</v>
      </c>
      <c r="D39" s="100">
        <v>17411</v>
      </c>
    </row>
    <row r="40" spans="1:4" x14ac:dyDescent="0.25">
      <c r="A40" t="s">
        <v>3844</v>
      </c>
      <c r="B40" s="100">
        <v>8384</v>
      </c>
      <c r="C40" t="s">
        <v>2693</v>
      </c>
      <c r="D40" s="100">
        <v>17001</v>
      </c>
    </row>
    <row r="41" spans="1:4" x14ac:dyDescent="0.25">
      <c r="A41" t="s">
        <v>3845</v>
      </c>
      <c r="B41" s="100">
        <v>8727</v>
      </c>
      <c r="C41" t="s">
        <v>1380</v>
      </c>
      <c r="D41" s="100">
        <v>31015</v>
      </c>
    </row>
    <row r="42" spans="1:4" x14ac:dyDescent="0.25">
      <c r="A42" t="s">
        <v>3846</v>
      </c>
      <c r="B42" s="100">
        <v>1446</v>
      </c>
      <c r="C42" t="s">
        <v>2297</v>
      </c>
      <c r="D42" s="100">
        <v>17417</v>
      </c>
    </row>
    <row r="43" spans="1:4" x14ac:dyDescent="0.25">
      <c r="A43" t="s">
        <v>3847</v>
      </c>
      <c r="B43" s="100">
        <v>8944</v>
      </c>
      <c r="C43" t="s">
        <v>1539</v>
      </c>
      <c r="D43" s="100">
        <v>17210</v>
      </c>
    </row>
    <row r="44" spans="1:4" x14ac:dyDescent="0.25">
      <c r="A44" t="s">
        <v>3848</v>
      </c>
      <c r="B44" s="100">
        <v>8097</v>
      </c>
      <c r="C44" t="s">
        <v>864</v>
      </c>
      <c r="D44" s="100">
        <v>17408</v>
      </c>
    </row>
    <row r="45" spans="1:4" x14ac:dyDescent="0.25">
      <c r="A45" t="s">
        <v>3849</v>
      </c>
      <c r="B45" s="100">
        <v>8586</v>
      </c>
      <c r="C45" t="s">
        <v>2900</v>
      </c>
      <c r="D45" s="100">
        <v>18402</v>
      </c>
    </row>
    <row r="46" spans="1:4" x14ac:dyDescent="0.25">
      <c r="A46" t="s">
        <v>3850</v>
      </c>
      <c r="B46" s="100">
        <v>1461</v>
      </c>
      <c r="C46" t="s">
        <v>1128</v>
      </c>
      <c r="D46" s="100">
        <v>32356</v>
      </c>
    </row>
    <row r="47" spans="1:4" x14ac:dyDescent="0.25">
      <c r="A47" t="s">
        <v>3851</v>
      </c>
      <c r="B47" s="100">
        <v>8406</v>
      </c>
      <c r="C47" t="s">
        <v>1791</v>
      </c>
      <c r="D47" s="100">
        <v>3017</v>
      </c>
    </row>
    <row r="48" spans="1:4" x14ac:dyDescent="0.25">
      <c r="A48" t="s">
        <v>3852</v>
      </c>
      <c r="B48" s="100">
        <v>1497</v>
      </c>
      <c r="C48" t="s">
        <v>1068</v>
      </c>
      <c r="D48" s="100">
        <v>6117</v>
      </c>
    </row>
    <row r="49" spans="1:4" x14ac:dyDescent="0.25">
      <c r="A49" t="s">
        <v>3853</v>
      </c>
      <c r="B49" s="100" t="s">
        <v>3854</v>
      </c>
      <c r="C49" t="s">
        <v>2378</v>
      </c>
      <c r="D49" s="100">
        <v>34111</v>
      </c>
    </row>
    <row r="50" spans="1:4" x14ac:dyDescent="0.25">
      <c r="A50" t="s">
        <v>3855</v>
      </c>
      <c r="B50" s="100" t="s">
        <v>3856</v>
      </c>
      <c r="C50" t="s">
        <v>3059</v>
      </c>
      <c r="D50" s="100">
        <v>27010</v>
      </c>
    </row>
    <row r="51" spans="1:4" x14ac:dyDescent="0.25">
      <c r="A51" t="s">
        <v>3857</v>
      </c>
      <c r="B51" s="100">
        <v>8005</v>
      </c>
      <c r="C51" t="s">
        <v>3317</v>
      </c>
      <c r="D51" s="100">
        <v>4246</v>
      </c>
    </row>
    <row r="52" spans="1:4" x14ac:dyDescent="0.25">
      <c r="A52" t="s">
        <v>3858</v>
      </c>
      <c r="B52" s="100">
        <v>8829</v>
      </c>
      <c r="C52" t="s">
        <v>985</v>
      </c>
      <c r="D52" s="100">
        <v>27403</v>
      </c>
    </row>
    <row r="53" spans="1:4" x14ac:dyDescent="0.25">
      <c r="A53" t="s">
        <v>3859</v>
      </c>
      <c r="B53" s="100">
        <v>8237</v>
      </c>
      <c r="C53" t="s">
        <v>2527</v>
      </c>
      <c r="D53" s="100">
        <v>27003</v>
      </c>
    </row>
    <row r="54" spans="1:4" x14ac:dyDescent="0.25">
      <c r="A54" t="s">
        <v>3860</v>
      </c>
      <c r="B54" s="100" t="s">
        <v>3861</v>
      </c>
      <c r="C54" t="s">
        <v>3033</v>
      </c>
      <c r="D54" s="100">
        <v>27320</v>
      </c>
    </row>
    <row r="55" spans="1:4" x14ac:dyDescent="0.25">
      <c r="A55" t="s">
        <v>3862</v>
      </c>
      <c r="B55" s="100">
        <v>8757</v>
      </c>
      <c r="C55" t="s">
        <v>2527</v>
      </c>
      <c r="D55" s="100">
        <v>27003</v>
      </c>
    </row>
    <row r="56" spans="1:4" x14ac:dyDescent="0.25">
      <c r="A56" t="s">
        <v>3863</v>
      </c>
      <c r="B56" s="100" t="s">
        <v>3864</v>
      </c>
      <c r="C56" t="s">
        <v>957</v>
      </c>
      <c r="D56" s="100">
        <v>37501</v>
      </c>
    </row>
    <row r="57" spans="1:4" x14ac:dyDescent="0.25">
      <c r="A57" t="s">
        <v>3865</v>
      </c>
      <c r="B57" s="100">
        <v>8969</v>
      </c>
      <c r="C57" t="s">
        <v>1501</v>
      </c>
      <c r="D57" s="100">
        <v>6114</v>
      </c>
    </row>
    <row r="58" spans="1:4" x14ac:dyDescent="0.25">
      <c r="A58" t="s">
        <v>3865</v>
      </c>
      <c r="B58" s="100">
        <v>8470</v>
      </c>
      <c r="C58" t="s">
        <v>1918</v>
      </c>
      <c r="D58" s="100">
        <v>17414</v>
      </c>
    </row>
    <row r="59" spans="1:4" x14ac:dyDescent="0.25">
      <c r="A59" t="s">
        <v>3866</v>
      </c>
      <c r="B59" s="100">
        <v>8191</v>
      </c>
      <c r="C59" t="s">
        <v>2926</v>
      </c>
      <c r="D59" s="100">
        <v>32081</v>
      </c>
    </row>
    <row r="60" spans="1:4" x14ac:dyDescent="0.25">
      <c r="A60" t="s">
        <v>3867</v>
      </c>
      <c r="B60" s="100">
        <v>8665</v>
      </c>
      <c r="C60" t="s">
        <v>925</v>
      </c>
      <c r="D60" s="100">
        <v>17405</v>
      </c>
    </row>
    <row r="61" spans="1:4" x14ac:dyDescent="0.25">
      <c r="A61" t="s">
        <v>3868</v>
      </c>
      <c r="B61" s="100">
        <v>8771</v>
      </c>
      <c r="C61" t="s">
        <v>2297</v>
      </c>
      <c r="D61" s="100">
        <v>17417</v>
      </c>
    </row>
    <row r="62" spans="1:4" x14ac:dyDescent="0.25">
      <c r="A62" t="s">
        <v>3869</v>
      </c>
      <c r="B62" s="100">
        <v>8537</v>
      </c>
      <c r="C62" t="s">
        <v>1471</v>
      </c>
      <c r="D62" s="100">
        <v>31002</v>
      </c>
    </row>
    <row r="63" spans="1:4" x14ac:dyDescent="0.25">
      <c r="A63" t="s">
        <v>3870</v>
      </c>
      <c r="B63" s="100">
        <v>8660</v>
      </c>
      <c r="C63" t="s">
        <v>1380</v>
      </c>
      <c r="D63" s="100">
        <v>31015</v>
      </c>
    </row>
    <row r="64" spans="1:4" x14ac:dyDescent="0.25">
      <c r="A64" t="s">
        <v>3871</v>
      </c>
      <c r="B64" s="100">
        <v>8620</v>
      </c>
      <c r="C64" t="s">
        <v>3127</v>
      </c>
      <c r="D64" s="100">
        <v>17409</v>
      </c>
    </row>
    <row r="65" spans="1:4" x14ac:dyDescent="0.25">
      <c r="A65" t="s">
        <v>3872</v>
      </c>
      <c r="B65" s="100">
        <v>1487</v>
      </c>
      <c r="C65" t="s">
        <v>903</v>
      </c>
      <c r="D65" s="100">
        <v>6119</v>
      </c>
    </row>
    <row r="66" spans="1:4" x14ac:dyDescent="0.25">
      <c r="A66" t="s">
        <v>3873</v>
      </c>
      <c r="B66" s="100">
        <v>8390</v>
      </c>
      <c r="C66" t="s">
        <v>957</v>
      </c>
      <c r="D66" s="100">
        <v>37501</v>
      </c>
    </row>
    <row r="67" spans="1:4" x14ac:dyDescent="0.25">
      <c r="A67" t="s">
        <v>3874</v>
      </c>
      <c r="B67" s="100">
        <v>8027</v>
      </c>
      <c r="C67" t="s">
        <v>1199</v>
      </c>
      <c r="D67" s="100">
        <v>16049</v>
      </c>
    </row>
    <row r="68" spans="1:4" x14ac:dyDescent="0.25">
      <c r="A68" t="s">
        <v>3875</v>
      </c>
      <c r="B68" s="100">
        <v>8616</v>
      </c>
      <c r="C68" t="s">
        <v>1161</v>
      </c>
      <c r="D68" s="100">
        <v>21401</v>
      </c>
    </row>
    <row r="69" spans="1:4" x14ac:dyDescent="0.25">
      <c r="A69" t="s">
        <v>3876</v>
      </c>
      <c r="B69" s="100">
        <v>8147</v>
      </c>
      <c r="C69" t="s">
        <v>3196</v>
      </c>
      <c r="D69" s="100">
        <v>27083</v>
      </c>
    </row>
    <row r="70" spans="1:4" x14ac:dyDescent="0.25">
      <c r="A70" t="s">
        <v>3877</v>
      </c>
      <c r="B70" s="100" t="s">
        <v>3878</v>
      </c>
      <c r="C70" t="s">
        <v>2926</v>
      </c>
      <c r="D70" s="100">
        <v>32081</v>
      </c>
    </row>
    <row r="71" spans="1:4" x14ac:dyDescent="0.25">
      <c r="A71" t="s">
        <v>3879</v>
      </c>
      <c r="B71" s="100">
        <v>1463</v>
      </c>
      <c r="C71" t="s">
        <v>925</v>
      </c>
      <c r="D71" s="100">
        <v>17405</v>
      </c>
    </row>
    <row r="72" spans="1:4" x14ac:dyDescent="0.25">
      <c r="A72" t="s">
        <v>3880</v>
      </c>
      <c r="B72" s="100">
        <v>8225</v>
      </c>
      <c r="C72" t="s">
        <v>2626</v>
      </c>
      <c r="D72" s="100">
        <v>3400</v>
      </c>
    </row>
    <row r="73" spans="1:4" x14ac:dyDescent="0.25">
      <c r="A73" t="s">
        <v>3881</v>
      </c>
      <c r="B73" s="100">
        <v>8958</v>
      </c>
      <c r="C73" t="s">
        <v>2594</v>
      </c>
      <c r="D73" s="100">
        <v>17403</v>
      </c>
    </row>
    <row r="74" spans="1:4" x14ac:dyDescent="0.25">
      <c r="A74" t="s">
        <v>3882</v>
      </c>
      <c r="B74" s="100" t="s">
        <v>3883</v>
      </c>
      <c r="C74" t="s">
        <v>2834</v>
      </c>
      <c r="D74" s="100">
        <v>17412</v>
      </c>
    </row>
    <row r="75" spans="1:4" x14ac:dyDescent="0.25">
      <c r="A75" t="s">
        <v>3884</v>
      </c>
      <c r="B75" s="100">
        <v>8031</v>
      </c>
      <c r="C75" t="s">
        <v>2693</v>
      </c>
      <c r="D75" s="100">
        <v>17001</v>
      </c>
    </row>
    <row r="76" spans="1:4" x14ac:dyDescent="0.25">
      <c r="A76" t="s">
        <v>3885</v>
      </c>
      <c r="B76" s="100">
        <v>8003</v>
      </c>
      <c r="C76" t="s">
        <v>2626</v>
      </c>
      <c r="D76" s="100">
        <v>3400</v>
      </c>
    </row>
    <row r="77" spans="1:4" x14ac:dyDescent="0.25">
      <c r="A77" t="s">
        <v>3886</v>
      </c>
      <c r="B77" s="100">
        <v>8231</v>
      </c>
      <c r="C77" t="s">
        <v>3345</v>
      </c>
      <c r="D77" s="100">
        <v>39208</v>
      </c>
    </row>
    <row r="78" spans="1:4" x14ac:dyDescent="0.25">
      <c r="A78" t="s">
        <v>3887</v>
      </c>
      <c r="B78" s="100">
        <v>8696</v>
      </c>
      <c r="C78" t="s">
        <v>2591</v>
      </c>
      <c r="D78" s="100">
        <v>22009</v>
      </c>
    </row>
    <row r="79" spans="1:4" x14ac:dyDescent="0.25">
      <c r="A79" t="s">
        <v>3888</v>
      </c>
      <c r="B79" s="100">
        <v>8398</v>
      </c>
      <c r="C79" t="s">
        <v>3443</v>
      </c>
      <c r="D79" s="100">
        <v>39205</v>
      </c>
    </row>
    <row r="80" spans="1:4" x14ac:dyDescent="0.25">
      <c r="A80" t="s">
        <v>3889</v>
      </c>
      <c r="B80" s="100">
        <v>8766</v>
      </c>
      <c r="C80" t="s">
        <v>2297</v>
      </c>
      <c r="D80" s="100">
        <v>17417</v>
      </c>
    </row>
    <row r="81" spans="1:4" x14ac:dyDescent="0.25">
      <c r="A81" t="s">
        <v>3889</v>
      </c>
      <c r="B81" s="100">
        <v>8897</v>
      </c>
      <c r="C81" t="s">
        <v>2297</v>
      </c>
      <c r="D81" s="100">
        <v>17417</v>
      </c>
    </row>
    <row r="82" spans="1:4" x14ac:dyDescent="0.25">
      <c r="A82" t="s">
        <v>3890</v>
      </c>
      <c r="B82" s="100">
        <v>8012</v>
      </c>
      <c r="C82" t="s">
        <v>903</v>
      </c>
      <c r="D82" s="100">
        <v>6119</v>
      </c>
    </row>
    <row r="83" spans="1:4" x14ac:dyDescent="0.25">
      <c r="A83" t="s">
        <v>3891</v>
      </c>
      <c r="B83" s="100">
        <v>1477</v>
      </c>
      <c r="C83" t="s">
        <v>1272</v>
      </c>
      <c r="D83" s="100">
        <v>33115</v>
      </c>
    </row>
    <row r="84" spans="1:4" x14ac:dyDescent="0.25">
      <c r="A84" t="s">
        <v>3892</v>
      </c>
      <c r="B84" s="100">
        <v>1496</v>
      </c>
      <c r="C84" t="s">
        <v>3059</v>
      </c>
      <c r="D84" s="100">
        <v>27010</v>
      </c>
    </row>
    <row r="85" spans="1:4" x14ac:dyDescent="0.25">
      <c r="A85" t="s">
        <v>3893</v>
      </c>
      <c r="B85" s="100">
        <v>8134</v>
      </c>
      <c r="C85" t="s">
        <v>3059</v>
      </c>
      <c r="D85" s="100">
        <v>27010</v>
      </c>
    </row>
    <row r="86" spans="1:4" x14ac:dyDescent="0.25">
      <c r="A86" t="s">
        <v>3894</v>
      </c>
      <c r="B86" s="100">
        <v>8032</v>
      </c>
      <c r="C86" t="s">
        <v>2693</v>
      </c>
      <c r="D86" s="100">
        <v>17001</v>
      </c>
    </row>
    <row r="87" spans="1:4" x14ac:dyDescent="0.25">
      <c r="A87" t="s">
        <v>3895</v>
      </c>
      <c r="B87" s="100">
        <v>1464</v>
      </c>
      <c r="C87" t="s">
        <v>2113</v>
      </c>
      <c r="D87" s="100">
        <v>31103</v>
      </c>
    </row>
    <row r="88" spans="1:4" x14ac:dyDescent="0.25">
      <c r="A88" t="s">
        <v>3896</v>
      </c>
      <c r="B88" s="100" t="s">
        <v>3897</v>
      </c>
      <c r="C88" t="s">
        <v>1128</v>
      </c>
      <c r="D88" s="100">
        <v>32356</v>
      </c>
    </row>
    <row r="89" spans="1:4" x14ac:dyDescent="0.25">
      <c r="A89" t="s">
        <v>3898</v>
      </c>
      <c r="B89" s="100">
        <v>8683</v>
      </c>
      <c r="C89" t="s">
        <v>903</v>
      </c>
      <c r="D89" s="100">
        <v>6119</v>
      </c>
    </row>
    <row r="90" spans="1:4" x14ac:dyDescent="0.25">
      <c r="A90" t="s">
        <v>3899</v>
      </c>
      <c r="B90" s="100">
        <v>8966</v>
      </c>
      <c r="C90" t="s">
        <v>2271</v>
      </c>
      <c r="D90" s="100">
        <v>34003</v>
      </c>
    </row>
    <row r="91" spans="1:4" x14ac:dyDescent="0.25">
      <c r="A91" t="s">
        <v>3900</v>
      </c>
      <c r="B91" s="100">
        <v>8587</v>
      </c>
      <c r="C91" t="s">
        <v>2019</v>
      </c>
      <c r="D91" s="100">
        <v>37504</v>
      </c>
    </row>
    <row r="92" spans="1:4" x14ac:dyDescent="0.25">
      <c r="A92" t="s">
        <v>3901</v>
      </c>
      <c r="B92" s="100">
        <v>8858</v>
      </c>
      <c r="C92" t="s">
        <v>1918</v>
      </c>
      <c r="D92" s="100">
        <v>17414</v>
      </c>
    </row>
    <row r="93" spans="1:4" x14ac:dyDescent="0.25">
      <c r="A93" t="s">
        <v>3902</v>
      </c>
      <c r="B93" s="100">
        <v>8474</v>
      </c>
      <c r="C93" t="s">
        <v>2019</v>
      </c>
      <c r="D93" s="100">
        <v>37504</v>
      </c>
    </row>
    <row r="94" spans="1:4" x14ac:dyDescent="0.25">
      <c r="A94" t="s">
        <v>3903</v>
      </c>
      <c r="B94" s="100">
        <v>8265</v>
      </c>
      <c r="C94" t="s">
        <v>3059</v>
      </c>
      <c r="D94" s="100">
        <v>27010</v>
      </c>
    </row>
    <row r="95" spans="1:4" x14ac:dyDescent="0.25">
      <c r="A95" t="s">
        <v>3904</v>
      </c>
      <c r="B95" s="100" t="s">
        <v>3905</v>
      </c>
      <c r="C95" t="s">
        <v>3360</v>
      </c>
      <c r="D95" s="100">
        <v>21303</v>
      </c>
    </row>
    <row r="96" spans="1:4" x14ac:dyDescent="0.25">
      <c r="A96" t="s">
        <v>3906</v>
      </c>
      <c r="B96" s="100">
        <v>8658</v>
      </c>
      <c r="C96" t="s">
        <v>2135</v>
      </c>
      <c r="D96" s="100">
        <v>13161</v>
      </c>
    </row>
    <row r="97" spans="1:4" x14ac:dyDescent="0.25">
      <c r="A97" t="s">
        <v>3907</v>
      </c>
      <c r="B97" s="100">
        <v>8367</v>
      </c>
      <c r="C97" t="s">
        <v>1108</v>
      </c>
      <c r="D97" s="100">
        <v>18401</v>
      </c>
    </row>
    <row r="98" spans="1:4" x14ac:dyDescent="0.25">
      <c r="A98" t="s">
        <v>3908</v>
      </c>
      <c r="B98" s="100">
        <v>8164</v>
      </c>
      <c r="C98" t="s">
        <v>1380</v>
      </c>
      <c r="D98" s="100">
        <v>31015</v>
      </c>
    </row>
    <row r="99" spans="1:4" x14ac:dyDescent="0.25">
      <c r="A99" t="s">
        <v>3909</v>
      </c>
      <c r="B99" s="100" t="s">
        <v>3910</v>
      </c>
      <c r="C99" t="s">
        <v>1820</v>
      </c>
      <c r="D99" s="100">
        <v>17415</v>
      </c>
    </row>
    <row r="100" spans="1:4" x14ac:dyDescent="0.25">
      <c r="A100" t="s">
        <v>3911</v>
      </c>
      <c r="B100" s="100">
        <v>8933</v>
      </c>
      <c r="C100" t="s">
        <v>925</v>
      </c>
      <c r="D100" s="100">
        <v>17405</v>
      </c>
    </row>
    <row r="101" spans="1:4" x14ac:dyDescent="0.25">
      <c r="A101" t="s">
        <v>3912</v>
      </c>
      <c r="B101" s="100">
        <v>8122</v>
      </c>
      <c r="C101" t="s">
        <v>2591</v>
      </c>
      <c r="D101" s="100">
        <v>22009</v>
      </c>
    </row>
    <row r="102" spans="1:4" x14ac:dyDescent="0.25">
      <c r="A102" t="s">
        <v>3913</v>
      </c>
      <c r="B102" s="100" t="s">
        <v>3914</v>
      </c>
      <c r="C102" t="s">
        <v>2693</v>
      </c>
      <c r="D102" s="100">
        <v>17001</v>
      </c>
    </row>
    <row r="103" spans="1:4" x14ac:dyDescent="0.25">
      <c r="A103" t="s">
        <v>3915</v>
      </c>
      <c r="B103" s="100">
        <v>8211</v>
      </c>
      <c r="C103" t="s">
        <v>3272</v>
      </c>
      <c r="D103" s="100">
        <v>36140</v>
      </c>
    </row>
    <row r="104" spans="1:4" x14ac:dyDescent="0.25">
      <c r="A104" t="s">
        <v>3916</v>
      </c>
      <c r="B104" s="100" t="s">
        <v>3917</v>
      </c>
      <c r="C104" t="s">
        <v>1431</v>
      </c>
      <c r="D104" s="100">
        <v>19401</v>
      </c>
    </row>
    <row r="105" spans="1:4" x14ac:dyDescent="0.25">
      <c r="A105" t="s">
        <v>3918</v>
      </c>
      <c r="B105" s="100">
        <v>8346</v>
      </c>
      <c r="C105" t="s">
        <v>2900</v>
      </c>
      <c r="D105" s="100">
        <v>18402</v>
      </c>
    </row>
    <row r="106" spans="1:4" x14ac:dyDescent="0.25">
      <c r="A106" t="s">
        <v>3919</v>
      </c>
      <c r="B106" s="100" t="s">
        <v>3920</v>
      </c>
      <c r="C106" t="s">
        <v>2297</v>
      </c>
      <c r="D106" s="100">
        <v>17417</v>
      </c>
    </row>
    <row r="107" spans="1:4" x14ac:dyDescent="0.25">
      <c r="A107" t="s">
        <v>3921</v>
      </c>
      <c r="B107" s="100" t="s">
        <v>3922</v>
      </c>
      <c r="C107" t="s">
        <v>3432</v>
      </c>
      <c r="D107" s="100">
        <v>34002</v>
      </c>
    </row>
    <row r="108" spans="1:4" x14ac:dyDescent="0.25">
      <c r="A108" t="s">
        <v>3923</v>
      </c>
      <c r="B108" s="100">
        <v>8835</v>
      </c>
      <c r="C108" t="s">
        <v>925</v>
      </c>
      <c r="D108" s="100">
        <v>17405</v>
      </c>
    </row>
    <row r="109" spans="1:4" x14ac:dyDescent="0.25">
      <c r="A109" t="s">
        <v>3924</v>
      </c>
      <c r="B109" s="100">
        <v>8476</v>
      </c>
      <c r="C109" t="s">
        <v>925</v>
      </c>
      <c r="D109" s="100">
        <v>17405</v>
      </c>
    </row>
    <row r="110" spans="1:4" x14ac:dyDescent="0.25">
      <c r="A110" t="s">
        <v>3925</v>
      </c>
      <c r="B110" s="100">
        <v>8572</v>
      </c>
      <c r="C110" t="s">
        <v>1918</v>
      </c>
      <c r="D110" s="100">
        <v>17414</v>
      </c>
    </row>
    <row r="111" spans="1:4" x14ac:dyDescent="0.25">
      <c r="A111" t="s">
        <v>3926</v>
      </c>
      <c r="B111" s="100">
        <v>8741</v>
      </c>
      <c r="C111" t="s">
        <v>925</v>
      </c>
      <c r="D111" s="100">
        <v>17405</v>
      </c>
    </row>
    <row r="112" spans="1:4" x14ac:dyDescent="0.25">
      <c r="A112" t="s">
        <v>3927</v>
      </c>
      <c r="B112" s="100" t="s">
        <v>3928</v>
      </c>
      <c r="C112" t="s">
        <v>925</v>
      </c>
      <c r="D112" s="100">
        <v>17405</v>
      </c>
    </row>
    <row r="113" spans="1:4" x14ac:dyDescent="0.25">
      <c r="A113" t="s">
        <v>3929</v>
      </c>
      <c r="B113" s="100">
        <v>8662</v>
      </c>
      <c r="C113" t="s">
        <v>1918</v>
      </c>
      <c r="D113" s="100">
        <v>17414</v>
      </c>
    </row>
    <row r="114" spans="1:4" x14ac:dyDescent="0.25">
      <c r="A114" t="s">
        <v>3930</v>
      </c>
      <c r="B114" s="100" t="s">
        <v>3931</v>
      </c>
      <c r="C114" t="s">
        <v>1918</v>
      </c>
      <c r="D114" s="100">
        <v>17414</v>
      </c>
    </row>
    <row r="115" spans="1:4" x14ac:dyDescent="0.25">
      <c r="A115" t="s">
        <v>3932</v>
      </c>
      <c r="B115" s="100">
        <v>8221</v>
      </c>
      <c r="C115" t="s">
        <v>2019</v>
      </c>
      <c r="D115" s="100">
        <v>37504</v>
      </c>
    </row>
    <row r="116" spans="1:4" x14ac:dyDescent="0.25">
      <c r="A116" t="s">
        <v>3933</v>
      </c>
      <c r="B116" s="100">
        <v>8941</v>
      </c>
      <c r="C116" t="s">
        <v>1431</v>
      </c>
      <c r="D116" s="100">
        <v>19401</v>
      </c>
    </row>
    <row r="117" spans="1:4" x14ac:dyDescent="0.25">
      <c r="A117" t="s">
        <v>3934</v>
      </c>
      <c r="B117" s="100">
        <v>8971</v>
      </c>
      <c r="C117" t="s">
        <v>925</v>
      </c>
      <c r="D117" s="100">
        <v>17405</v>
      </c>
    </row>
    <row r="118" spans="1:4" x14ac:dyDescent="0.25">
      <c r="A118" t="s">
        <v>3935</v>
      </c>
      <c r="B118" s="100" t="s">
        <v>3936</v>
      </c>
      <c r="C118" t="s">
        <v>2168</v>
      </c>
      <c r="D118" s="100">
        <v>29320</v>
      </c>
    </row>
    <row r="119" spans="1:4" x14ac:dyDescent="0.25">
      <c r="A119" t="s">
        <v>3937</v>
      </c>
      <c r="B119" s="100" t="s">
        <v>3938</v>
      </c>
      <c r="C119" t="s">
        <v>2071</v>
      </c>
      <c r="D119" s="100">
        <v>32354</v>
      </c>
    </row>
    <row r="120" spans="1:4" x14ac:dyDescent="0.25">
      <c r="A120" t="s">
        <v>3939</v>
      </c>
      <c r="B120" s="100">
        <v>8033</v>
      </c>
      <c r="C120" t="s">
        <v>2693</v>
      </c>
      <c r="D120" s="100">
        <v>17001</v>
      </c>
    </row>
    <row r="121" spans="1:4" x14ac:dyDescent="0.25">
      <c r="A121" t="s">
        <v>3940</v>
      </c>
      <c r="B121" s="100">
        <v>8559</v>
      </c>
      <c r="C121" t="s">
        <v>925</v>
      </c>
      <c r="D121" s="100">
        <v>17405</v>
      </c>
    </row>
    <row r="122" spans="1:4" x14ac:dyDescent="0.25">
      <c r="A122" t="s">
        <v>3941</v>
      </c>
      <c r="B122" s="100">
        <v>8156</v>
      </c>
      <c r="C122" t="s">
        <v>1471</v>
      </c>
      <c r="D122" s="100">
        <v>31002</v>
      </c>
    </row>
    <row r="123" spans="1:4" x14ac:dyDescent="0.25">
      <c r="A123" t="s">
        <v>3942</v>
      </c>
      <c r="B123" s="100">
        <v>8673</v>
      </c>
      <c r="C123" t="s">
        <v>2297</v>
      </c>
      <c r="D123" s="100">
        <v>17417</v>
      </c>
    </row>
    <row r="124" spans="1:4" x14ac:dyDescent="0.25">
      <c r="A124" t="s">
        <v>3943</v>
      </c>
      <c r="B124" s="100" t="s">
        <v>3944</v>
      </c>
      <c r="C124" t="s">
        <v>1539</v>
      </c>
      <c r="D124" s="100">
        <v>17210</v>
      </c>
    </row>
    <row r="125" spans="1:4" x14ac:dyDescent="0.25">
      <c r="A125" t="s">
        <v>3945</v>
      </c>
      <c r="B125" s="100">
        <v>8332</v>
      </c>
      <c r="C125" t="s">
        <v>2378</v>
      </c>
      <c r="D125" s="100">
        <v>34111</v>
      </c>
    </row>
    <row r="126" spans="1:4" x14ac:dyDescent="0.25">
      <c r="A126" t="s">
        <v>3946</v>
      </c>
      <c r="B126" s="100">
        <v>8456</v>
      </c>
      <c r="C126" t="s">
        <v>2527</v>
      </c>
      <c r="D126" s="100">
        <v>27003</v>
      </c>
    </row>
    <row r="127" spans="1:4" x14ac:dyDescent="0.25">
      <c r="A127" t="s">
        <v>3947</v>
      </c>
      <c r="B127" s="100">
        <v>8074</v>
      </c>
      <c r="C127" t="s">
        <v>957</v>
      </c>
      <c r="D127" s="100">
        <v>37501</v>
      </c>
    </row>
    <row r="128" spans="1:4" x14ac:dyDescent="0.25">
      <c r="A128" t="s">
        <v>3948</v>
      </c>
      <c r="B128" s="100">
        <v>8189</v>
      </c>
      <c r="C128" t="s">
        <v>1686</v>
      </c>
      <c r="D128" s="100">
        <v>17401</v>
      </c>
    </row>
    <row r="129" spans="1:4" x14ac:dyDescent="0.25">
      <c r="A129" t="s">
        <v>3949</v>
      </c>
      <c r="B129" s="100">
        <v>8135</v>
      </c>
      <c r="C129" t="s">
        <v>3059</v>
      </c>
      <c r="D129" s="100">
        <v>27010</v>
      </c>
    </row>
    <row r="130" spans="1:4" x14ac:dyDescent="0.25">
      <c r="A130" t="s">
        <v>3949</v>
      </c>
      <c r="B130" s="100">
        <v>8482</v>
      </c>
      <c r="C130" t="s">
        <v>2271</v>
      </c>
      <c r="D130" s="100">
        <v>34003</v>
      </c>
    </row>
    <row r="131" spans="1:4" x14ac:dyDescent="0.25">
      <c r="A131" t="s">
        <v>3950</v>
      </c>
      <c r="B131" s="100">
        <v>8347</v>
      </c>
      <c r="C131" t="s">
        <v>1776</v>
      </c>
      <c r="D131" s="100">
        <v>8458</v>
      </c>
    </row>
    <row r="132" spans="1:4" x14ac:dyDescent="0.25">
      <c r="A132" t="s">
        <v>3951</v>
      </c>
      <c r="B132" s="100" t="s">
        <v>3952</v>
      </c>
      <c r="C132" t="s">
        <v>1471</v>
      </c>
      <c r="D132" s="100">
        <v>31002</v>
      </c>
    </row>
    <row r="133" spans="1:4" x14ac:dyDescent="0.25">
      <c r="A133" t="s">
        <v>3953</v>
      </c>
      <c r="B133" s="100" t="s">
        <v>3954</v>
      </c>
      <c r="C133" t="s">
        <v>839</v>
      </c>
      <c r="D133" s="100">
        <v>29103</v>
      </c>
    </row>
    <row r="134" spans="1:4" x14ac:dyDescent="0.25">
      <c r="A134" t="s">
        <v>3955</v>
      </c>
      <c r="B134" s="100">
        <v>8480</v>
      </c>
      <c r="C134" t="s">
        <v>903</v>
      </c>
      <c r="D134" s="100">
        <v>6119</v>
      </c>
    </row>
    <row r="135" spans="1:4" x14ac:dyDescent="0.25">
      <c r="A135" t="s">
        <v>3956</v>
      </c>
      <c r="B135" s="100" t="s">
        <v>3957</v>
      </c>
      <c r="C135" t="s">
        <v>2926</v>
      </c>
      <c r="D135" s="100">
        <v>32081</v>
      </c>
    </row>
    <row r="136" spans="1:4" x14ac:dyDescent="0.25">
      <c r="A136" t="s">
        <v>3958</v>
      </c>
      <c r="B136" s="100">
        <v>8197</v>
      </c>
      <c r="C136" t="s">
        <v>2819</v>
      </c>
      <c r="D136" s="100">
        <v>5323</v>
      </c>
    </row>
    <row r="137" spans="1:4" x14ac:dyDescent="0.25">
      <c r="A137" t="s">
        <v>3959</v>
      </c>
      <c r="B137" s="100">
        <v>8330</v>
      </c>
      <c r="C137" t="s">
        <v>2168</v>
      </c>
      <c r="D137" s="100">
        <v>29320</v>
      </c>
    </row>
    <row r="138" spans="1:4" x14ac:dyDescent="0.25">
      <c r="A138" t="s">
        <v>3960</v>
      </c>
      <c r="B138" s="100">
        <v>8793</v>
      </c>
      <c r="C138" t="s">
        <v>1471</v>
      </c>
      <c r="D138" s="100">
        <v>31002</v>
      </c>
    </row>
    <row r="139" spans="1:4" x14ac:dyDescent="0.25">
      <c r="A139" t="s">
        <v>3961</v>
      </c>
      <c r="B139" s="100">
        <v>8035</v>
      </c>
      <c r="C139" t="s">
        <v>925</v>
      </c>
      <c r="D139" s="100">
        <v>17405</v>
      </c>
    </row>
    <row r="140" spans="1:4" x14ac:dyDescent="0.25">
      <c r="A140" t="s">
        <v>3962</v>
      </c>
      <c r="B140" s="100">
        <v>8279</v>
      </c>
      <c r="C140" t="s">
        <v>2092</v>
      </c>
      <c r="D140" s="100">
        <v>17400</v>
      </c>
    </row>
    <row r="141" spans="1:4" x14ac:dyDescent="0.25">
      <c r="A141" t="s">
        <v>3963</v>
      </c>
      <c r="B141" s="100">
        <v>8408</v>
      </c>
      <c r="C141" t="s">
        <v>1742</v>
      </c>
      <c r="D141" s="100">
        <v>17411</v>
      </c>
    </row>
    <row r="142" spans="1:4" x14ac:dyDescent="0.25">
      <c r="A142" t="s">
        <v>3964</v>
      </c>
      <c r="B142" s="100" t="s">
        <v>3965</v>
      </c>
      <c r="C142" t="s">
        <v>2693</v>
      </c>
      <c r="D142" s="100">
        <v>17001</v>
      </c>
    </row>
    <row r="143" spans="1:4" x14ac:dyDescent="0.25">
      <c r="A143" t="s">
        <v>3966</v>
      </c>
      <c r="B143" s="100" t="s">
        <v>3967</v>
      </c>
      <c r="C143" t="s">
        <v>1686</v>
      </c>
      <c r="D143" s="100">
        <v>17401</v>
      </c>
    </row>
    <row r="144" spans="1:4" x14ac:dyDescent="0.25">
      <c r="A144" t="s">
        <v>3968</v>
      </c>
      <c r="B144" s="100" t="s">
        <v>3969</v>
      </c>
      <c r="C144" t="s">
        <v>1742</v>
      </c>
      <c r="D144" s="100">
        <v>17411</v>
      </c>
    </row>
    <row r="145" spans="1:4" x14ac:dyDescent="0.25">
      <c r="A145" t="s">
        <v>3970</v>
      </c>
      <c r="B145" s="100">
        <v>8978</v>
      </c>
      <c r="C145" t="s">
        <v>2693</v>
      </c>
      <c r="D145" s="100">
        <v>17001</v>
      </c>
    </row>
    <row r="146" spans="1:4" x14ac:dyDescent="0.25">
      <c r="A146" t="s">
        <v>3971</v>
      </c>
      <c r="B146" s="100">
        <v>8389</v>
      </c>
      <c r="C146" t="s">
        <v>2481</v>
      </c>
      <c r="D146" s="100">
        <v>27401</v>
      </c>
    </row>
    <row r="147" spans="1:4" x14ac:dyDescent="0.25">
      <c r="A147" t="s">
        <v>3972</v>
      </c>
      <c r="B147" s="100">
        <v>8396</v>
      </c>
      <c r="C147" t="s">
        <v>1686</v>
      </c>
      <c r="D147" s="100">
        <v>17401</v>
      </c>
    </row>
    <row r="148" spans="1:4" x14ac:dyDescent="0.25">
      <c r="A148" t="s">
        <v>3973</v>
      </c>
      <c r="B148" s="100" t="s">
        <v>3974</v>
      </c>
      <c r="C148" t="s">
        <v>1918</v>
      </c>
      <c r="D148" s="100">
        <v>17414</v>
      </c>
    </row>
    <row r="149" spans="1:4" x14ac:dyDescent="0.25">
      <c r="A149" t="s">
        <v>3975</v>
      </c>
      <c r="B149" s="100">
        <v>8379</v>
      </c>
      <c r="C149" t="s">
        <v>1636</v>
      </c>
      <c r="D149" s="100">
        <v>20404</v>
      </c>
    </row>
    <row r="150" spans="1:4" x14ac:dyDescent="0.25">
      <c r="A150" t="s">
        <v>3976</v>
      </c>
      <c r="B150" s="100">
        <v>8176</v>
      </c>
      <c r="C150" t="s">
        <v>2926</v>
      </c>
      <c r="D150" s="100">
        <v>32081</v>
      </c>
    </row>
    <row r="151" spans="1:4" x14ac:dyDescent="0.25">
      <c r="A151" t="s">
        <v>3977</v>
      </c>
      <c r="B151" s="100">
        <v>1400</v>
      </c>
      <c r="C151" t="s">
        <v>2271</v>
      </c>
      <c r="D151" s="100">
        <v>34003</v>
      </c>
    </row>
    <row r="152" spans="1:4" x14ac:dyDescent="0.25">
      <c r="A152" t="s">
        <v>3978</v>
      </c>
      <c r="B152" s="100">
        <v>8429</v>
      </c>
      <c r="C152" t="s">
        <v>2048</v>
      </c>
      <c r="D152" s="100">
        <v>31025</v>
      </c>
    </row>
    <row r="153" spans="1:4" x14ac:dyDescent="0.25">
      <c r="A153" t="s">
        <v>3979</v>
      </c>
      <c r="B153" s="100" t="s">
        <v>3980</v>
      </c>
      <c r="C153" t="s">
        <v>2621</v>
      </c>
      <c r="D153" s="100">
        <v>10309</v>
      </c>
    </row>
    <row r="154" spans="1:4" x14ac:dyDescent="0.25">
      <c r="A154" t="s">
        <v>3981</v>
      </c>
      <c r="B154" s="100">
        <v>8228</v>
      </c>
      <c r="C154" t="s">
        <v>3408</v>
      </c>
      <c r="D154" s="100">
        <v>39007</v>
      </c>
    </row>
    <row r="155" spans="1:4" x14ac:dyDescent="0.25">
      <c r="A155" t="s">
        <v>3982</v>
      </c>
      <c r="B155" s="100">
        <v>8648</v>
      </c>
      <c r="C155" t="s">
        <v>2128</v>
      </c>
      <c r="D155" s="100">
        <v>14066</v>
      </c>
    </row>
    <row r="156" spans="1:4" x14ac:dyDescent="0.25">
      <c r="A156" t="s">
        <v>3983</v>
      </c>
      <c r="B156" s="100">
        <v>8409</v>
      </c>
      <c r="C156" t="s">
        <v>2180</v>
      </c>
      <c r="D156" s="100">
        <v>31006</v>
      </c>
    </row>
    <row r="157" spans="1:4" x14ac:dyDescent="0.25">
      <c r="A157" t="s">
        <v>3984</v>
      </c>
      <c r="B157" s="100">
        <v>8756</v>
      </c>
      <c r="C157" t="s">
        <v>864</v>
      </c>
      <c r="D157" s="100">
        <v>17408</v>
      </c>
    </row>
    <row r="158" spans="1:4" x14ac:dyDescent="0.25">
      <c r="A158" t="s">
        <v>3985</v>
      </c>
      <c r="B158" s="100">
        <v>8226</v>
      </c>
      <c r="C158" t="s">
        <v>1263</v>
      </c>
      <c r="D158" s="100">
        <v>38306</v>
      </c>
    </row>
    <row r="159" spans="1:4" x14ac:dyDescent="0.25">
      <c r="A159" t="s">
        <v>3986</v>
      </c>
      <c r="B159" s="100">
        <v>8743</v>
      </c>
      <c r="C159" t="s">
        <v>2693</v>
      </c>
      <c r="D159" s="100">
        <v>17001</v>
      </c>
    </row>
    <row r="160" spans="1:4" x14ac:dyDescent="0.25">
      <c r="A160" t="s">
        <v>3987</v>
      </c>
      <c r="B160" s="100">
        <v>1423</v>
      </c>
      <c r="C160" t="s">
        <v>2481</v>
      </c>
      <c r="D160" s="100">
        <v>27401</v>
      </c>
    </row>
    <row r="161" spans="1:4" x14ac:dyDescent="0.25">
      <c r="A161" t="s">
        <v>3988</v>
      </c>
      <c r="B161" s="100">
        <v>8667</v>
      </c>
      <c r="C161" t="s">
        <v>2481</v>
      </c>
      <c r="D161" s="100">
        <v>27401</v>
      </c>
    </row>
    <row r="162" spans="1:4" x14ac:dyDescent="0.25">
      <c r="A162" t="s">
        <v>3989</v>
      </c>
      <c r="B162" s="100">
        <v>8256</v>
      </c>
      <c r="C162" t="s">
        <v>3246</v>
      </c>
      <c r="D162" s="100">
        <v>17402</v>
      </c>
    </row>
    <row r="163" spans="1:4" x14ac:dyDescent="0.25">
      <c r="A163" t="s">
        <v>3990</v>
      </c>
      <c r="B163" s="100">
        <v>8694</v>
      </c>
      <c r="C163" t="s">
        <v>2154</v>
      </c>
      <c r="D163" s="100">
        <v>39209</v>
      </c>
    </row>
    <row r="164" spans="1:4" x14ac:dyDescent="0.25">
      <c r="A164" t="s">
        <v>3991</v>
      </c>
      <c r="B164" s="100" t="s">
        <v>3992</v>
      </c>
      <c r="C164" t="s">
        <v>2399</v>
      </c>
      <c r="D164" s="100">
        <v>24019</v>
      </c>
    </row>
    <row r="165" spans="1:4" x14ac:dyDescent="0.25">
      <c r="A165" t="s">
        <v>3993</v>
      </c>
      <c r="B165" s="100">
        <v>8561</v>
      </c>
      <c r="C165" t="s">
        <v>2297</v>
      </c>
      <c r="D165" s="100">
        <v>17417</v>
      </c>
    </row>
    <row r="166" spans="1:4" x14ac:dyDescent="0.25">
      <c r="A166" t="s">
        <v>3994</v>
      </c>
      <c r="B166" s="100">
        <v>8296</v>
      </c>
      <c r="C166" t="s">
        <v>3196</v>
      </c>
      <c r="D166" s="100">
        <v>27083</v>
      </c>
    </row>
    <row r="167" spans="1:4" x14ac:dyDescent="0.25">
      <c r="A167" t="s">
        <v>3995</v>
      </c>
      <c r="B167" s="100" t="s">
        <v>3996</v>
      </c>
      <c r="C167" t="s">
        <v>2662</v>
      </c>
      <c r="D167" s="100">
        <v>17407</v>
      </c>
    </row>
    <row r="168" spans="1:4" x14ac:dyDescent="0.25">
      <c r="A168" t="s">
        <v>3997</v>
      </c>
      <c r="B168" s="100">
        <v>8241</v>
      </c>
      <c r="C168" t="s">
        <v>925</v>
      </c>
      <c r="D168" s="100">
        <v>17405</v>
      </c>
    </row>
    <row r="169" spans="1:4" x14ac:dyDescent="0.25">
      <c r="A169" t="s">
        <v>3998</v>
      </c>
      <c r="B169" s="100">
        <v>8041</v>
      </c>
      <c r="C169" t="s">
        <v>2693</v>
      </c>
      <c r="D169" s="100">
        <v>17001</v>
      </c>
    </row>
    <row r="170" spans="1:4" x14ac:dyDescent="0.25">
      <c r="A170" t="s">
        <v>3999</v>
      </c>
      <c r="B170" s="100">
        <v>8016</v>
      </c>
      <c r="C170" t="s">
        <v>1918</v>
      </c>
      <c r="D170" s="100">
        <v>17414</v>
      </c>
    </row>
    <row r="171" spans="1:4" x14ac:dyDescent="0.25">
      <c r="A171" t="s">
        <v>4000</v>
      </c>
      <c r="B171" s="100">
        <v>8098</v>
      </c>
      <c r="C171" t="s">
        <v>864</v>
      </c>
      <c r="D171" s="100">
        <v>17408</v>
      </c>
    </row>
    <row r="172" spans="1:4" x14ac:dyDescent="0.25">
      <c r="A172" t="s">
        <v>4001</v>
      </c>
      <c r="B172" s="100">
        <v>8000</v>
      </c>
      <c r="C172" t="s">
        <v>1206</v>
      </c>
      <c r="D172" s="100">
        <v>2250</v>
      </c>
    </row>
    <row r="173" spans="1:4" x14ac:dyDescent="0.25">
      <c r="A173" t="s">
        <v>4002</v>
      </c>
      <c r="B173" s="100">
        <v>8340</v>
      </c>
      <c r="C173" t="s">
        <v>2271</v>
      </c>
      <c r="D173" s="100">
        <v>34003</v>
      </c>
    </row>
    <row r="174" spans="1:4" x14ac:dyDescent="0.25">
      <c r="A174" t="s">
        <v>4003</v>
      </c>
      <c r="B174" s="100">
        <v>8295</v>
      </c>
      <c r="C174" t="s">
        <v>1539</v>
      </c>
      <c r="D174" s="100">
        <v>17210</v>
      </c>
    </row>
    <row r="175" spans="1:4" x14ac:dyDescent="0.25">
      <c r="A175" t="s">
        <v>4004</v>
      </c>
      <c r="B175" s="100">
        <v>8042</v>
      </c>
      <c r="C175" t="s">
        <v>2693</v>
      </c>
      <c r="D175" s="100">
        <v>17001</v>
      </c>
    </row>
    <row r="176" spans="1:4" x14ac:dyDescent="0.25">
      <c r="A176" t="s">
        <v>4005</v>
      </c>
      <c r="B176" s="100">
        <v>8137</v>
      </c>
      <c r="C176" t="s">
        <v>1599</v>
      </c>
      <c r="D176" s="100">
        <v>27417</v>
      </c>
    </row>
    <row r="177" spans="1:4" x14ac:dyDescent="0.25">
      <c r="A177" t="s">
        <v>4006</v>
      </c>
      <c r="B177" s="100">
        <v>8162</v>
      </c>
      <c r="C177" t="s">
        <v>1380</v>
      </c>
      <c r="D177" s="100">
        <v>31015</v>
      </c>
    </row>
    <row r="178" spans="1:4" x14ac:dyDescent="0.25">
      <c r="A178" t="s">
        <v>4007</v>
      </c>
      <c r="B178" s="100">
        <v>8043</v>
      </c>
      <c r="C178" t="s">
        <v>2693</v>
      </c>
      <c r="D178" s="100">
        <v>17001</v>
      </c>
    </row>
    <row r="179" spans="1:4" x14ac:dyDescent="0.25">
      <c r="A179" t="s">
        <v>4008</v>
      </c>
      <c r="B179" s="100">
        <v>8535</v>
      </c>
      <c r="C179" t="s">
        <v>1539</v>
      </c>
      <c r="D179" s="100">
        <v>17210</v>
      </c>
    </row>
    <row r="180" spans="1:4" x14ac:dyDescent="0.25">
      <c r="A180" t="s">
        <v>4009</v>
      </c>
      <c r="B180" s="100" t="s">
        <v>4010</v>
      </c>
      <c r="C180" t="s">
        <v>2693</v>
      </c>
      <c r="D180" s="100">
        <v>17001</v>
      </c>
    </row>
    <row r="181" spans="1:4" x14ac:dyDescent="0.25">
      <c r="A181" t="s">
        <v>4011</v>
      </c>
      <c r="B181" s="100">
        <v>8045</v>
      </c>
      <c r="C181" t="s">
        <v>2693</v>
      </c>
      <c r="D181" s="100">
        <v>17001</v>
      </c>
    </row>
    <row r="182" spans="1:4" x14ac:dyDescent="0.25">
      <c r="A182" t="s">
        <v>4012</v>
      </c>
      <c r="B182" s="100">
        <v>8865</v>
      </c>
      <c r="C182" t="s">
        <v>2834</v>
      </c>
      <c r="D182" s="100">
        <v>17412</v>
      </c>
    </row>
    <row r="183" spans="1:4" x14ac:dyDescent="0.25">
      <c r="A183" t="s">
        <v>4013</v>
      </c>
      <c r="B183" s="100">
        <v>8449</v>
      </c>
      <c r="C183" t="s">
        <v>3211</v>
      </c>
      <c r="D183" s="100">
        <v>6037</v>
      </c>
    </row>
    <row r="184" spans="1:4" x14ac:dyDescent="0.25">
      <c r="A184" t="s">
        <v>4014</v>
      </c>
      <c r="B184" s="100">
        <v>8968</v>
      </c>
      <c r="C184" t="s">
        <v>889</v>
      </c>
      <c r="D184" s="100">
        <v>18303</v>
      </c>
    </row>
    <row r="185" spans="1:4" x14ac:dyDescent="0.25">
      <c r="A185" t="s">
        <v>4015</v>
      </c>
      <c r="B185" s="100">
        <v>8258</v>
      </c>
      <c r="C185" t="s">
        <v>985</v>
      </c>
      <c r="D185" s="100">
        <v>27403</v>
      </c>
    </row>
    <row r="186" spans="1:4" x14ac:dyDescent="0.25">
      <c r="A186" t="s">
        <v>4016</v>
      </c>
      <c r="B186" s="100">
        <v>8157</v>
      </c>
      <c r="C186" t="s">
        <v>1471</v>
      </c>
      <c r="D186" s="100">
        <v>31002</v>
      </c>
    </row>
    <row r="187" spans="1:4" x14ac:dyDescent="0.25">
      <c r="A187" t="s">
        <v>4017</v>
      </c>
      <c r="B187" s="100">
        <v>8153</v>
      </c>
      <c r="C187" t="s">
        <v>2168</v>
      </c>
      <c r="D187" s="100">
        <v>29320</v>
      </c>
    </row>
    <row r="188" spans="1:4" x14ac:dyDescent="0.25">
      <c r="A188" t="s">
        <v>4018</v>
      </c>
      <c r="B188" s="100" t="s">
        <v>4019</v>
      </c>
      <c r="C188" t="s">
        <v>925</v>
      </c>
      <c r="D188" s="100">
        <v>17405</v>
      </c>
    </row>
    <row r="189" spans="1:4" x14ac:dyDescent="0.25">
      <c r="A189" t="s">
        <v>4020</v>
      </c>
      <c r="B189" s="100" t="s">
        <v>4021</v>
      </c>
      <c r="C189" t="s">
        <v>2693</v>
      </c>
      <c r="D189" s="100">
        <v>17001</v>
      </c>
    </row>
    <row r="190" spans="1:4" x14ac:dyDescent="0.25">
      <c r="A190" t="s">
        <v>4022</v>
      </c>
      <c r="B190" s="100" t="s">
        <v>4023</v>
      </c>
      <c r="C190" t="s">
        <v>925</v>
      </c>
      <c r="D190" s="100">
        <v>17405</v>
      </c>
    </row>
    <row r="191" spans="1:4" x14ac:dyDescent="0.25">
      <c r="A191" t="s">
        <v>4024</v>
      </c>
      <c r="B191" s="100">
        <v>8928</v>
      </c>
      <c r="C191" t="s">
        <v>2917</v>
      </c>
      <c r="D191" s="100">
        <v>15206</v>
      </c>
    </row>
    <row r="192" spans="1:4" x14ac:dyDescent="0.25">
      <c r="A192" t="s">
        <v>4025</v>
      </c>
      <c r="B192" s="100">
        <v>1427</v>
      </c>
      <c r="C192" t="s">
        <v>2507</v>
      </c>
      <c r="D192" s="100">
        <v>16050</v>
      </c>
    </row>
    <row r="193" spans="1:4" x14ac:dyDescent="0.25">
      <c r="A193" t="s">
        <v>4026</v>
      </c>
      <c r="B193" s="100">
        <v>8656</v>
      </c>
      <c r="C193" t="s">
        <v>1272</v>
      </c>
      <c r="D193" s="100">
        <v>33115</v>
      </c>
    </row>
    <row r="194" spans="1:4" x14ac:dyDescent="0.25">
      <c r="A194" t="s">
        <v>4027</v>
      </c>
      <c r="B194" s="100" t="s">
        <v>4028</v>
      </c>
      <c r="C194" t="s">
        <v>1776</v>
      </c>
      <c r="D194" s="100">
        <v>8458</v>
      </c>
    </row>
    <row r="195" spans="1:4" x14ac:dyDescent="0.25">
      <c r="A195" t="s">
        <v>4029</v>
      </c>
      <c r="B195" s="100" t="s">
        <v>4030</v>
      </c>
      <c r="C195" t="s">
        <v>1380</v>
      </c>
      <c r="D195" s="100">
        <v>31015</v>
      </c>
    </row>
    <row r="196" spans="1:4" x14ac:dyDescent="0.25">
      <c r="A196" t="s">
        <v>4031</v>
      </c>
      <c r="B196" s="100" t="s">
        <v>4032</v>
      </c>
      <c r="C196" t="s">
        <v>3317</v>
      </c>
      <c r="D196" s="100">
        <v>4246</v>
      </c>
    </row>
    <row r="197" spans="1:4" x14ac:dyDescent="0.25">
      <c r="A197" t="s">
        <v>4033</v>
      </c>
      <c r="B197" s="100" t="s">
        <v>4035</v>
      </c>
      <c r="C197" t="s">
        <v>4034</v>
      </c>
      <c r="D197" s="100">
        <v>4222</v>
      </c>
    </row>
    <row r="198" spans="1:4" x14ac:dyDescent="0.25">
      <c r="A198" t="s">
        <v>4036</v>
      </c>
      <c r="B198" s="100" t="s">
        <v>4037</v>
      </c>
      <c r="C198" t="s">
        <v>1539</v>
      </c>
      <c r="D198" s="100">
        <v>17210</v>
      </c>
    </row>
    <row r="199" spans="1:4" x14ac:dyDescent="0.25">
      <c r="A199" t="s">
        <v>4038</v>
      </c>
      <c r="B199" s="100">
        <v>1481</v>
      </c>
      <c r="C199" t="s">
        <v>2693</v>
      </c>
      <c r="D199" s="100">
        <v>17001</v>
      </c>
    </row>
    <row r="200" spans="1:4" x14ac:dyDescent="0.25">
      <c r="A200" t="s">
        <v>4039</v>
      </c>
      <c r="B200" s="100">
        <v>8082</v>
      </c>
      <c r="C200" t="s">
        <v>1686</v>
      </c>
      <c r="D200" s="100">
        <v>17401</v>
      </c>
    </row>
    <row r="201" spans="1:4" x14ac:dyDescent="0.25">
      <c r="A201" t="s">
        <v>4040</v>
      </c>
      <c r="B201" s="100">
        <v>8102</v>
      </c>
      <c r="C201" t="s">
        <v>2834</v>
      </c>
      <c r="D201" s="100">
        <v>17412</v>
      </c>
    </row>
    <row r="202" spans="1:4" x14ac:dyDescent="0.25">
      <c r="A202" t="s">
        <v>4041</v>
      </c>
      <c r="B202" s="100">
        <v>8483</v>
      </c>
      <c r="C202" t="s">
        <v>3211</v>
      </c>
      <c r="D202" s="100">
        <v>6037</v>
      </c>
    </row>
    <row r="203" spans="1:4" x14ac:dyDescent="0.25">
      <c r="A203" t="s">
        <v>4042</v>
      </c>
      <c r="B203" s="100">
        <v>8437</v>
      </c>
      <c r="C203" t="s">
        <v>2450</v>
      </c>
      <c r="D203" s="100">
        <v>11001</v>
      </c>
    </row>
    <row r="204" spans="1:4" x14ac:dyDescent="0.25">
      <c r="A204" t="s">
        <v>4043</v>
      </c>
      <c r="B204" s="100">
        <v>8107</v>
      </c>
      <c r="C204" t="s">
        <v>1918</v>
      </c>
      <c r="D204" s="100">
        <v>17414</v>
      </c>
    </row>
    <row r="205" spans="1:4" x14ac:dyDescent="0.25">
      <c r="A205" t="s">
        <v>4044</v>
      </c>
      <c r="B205" s="100">
        <v>8114</v>
      </c>
      <c r="C205" t="s">
        <v>1108</v>
      </c>
      <c r="D205" s="100">
        <v>18401</v>
      </c>
    </row>
    <row r="206" spans="1:4" x14ac:dyDescent="0.25">
      <c r="A206" t="s">
        <v>4045</v>
      </c>
      <c r="B206" s="100">
        <v>8310</v>
      </c>
      <c r="C206" t="s">
        <v>3194</v>
      </c>
      <c r="D206" s="100">
        <v>39002</v>
      </c>
    </row>
    <row r="207" spans="1:4" x14ac:dyDescent="0.25">
      <c r="A207" t="s">
        <v>4046</v>
      </c>
      <c r="B207" s="100">
        <v>8299</v>
      </c>
      <c r="C207" t="s">
        <v>2693</v>
      </c>
      <c r="D207" s="100">
        <v>17001</v>
      </c>
    </row>
    <row r="208" spans="1:4" x14ac:dyDescent="0.25">
      <c r="A208" t="s">
        <v>4047</v>
      </c>
      <c r="B208" s="100" t="s">
        <v>4048</v>
      </c>
      <c r="C208" t="s">
        <v>2693</v>
      </c>
      <c r="D208" s="100">
        <v>17001</v>
      </c>
    </row>
    <row r="209" spans="1:4" x14ac:dyDescent="0.25">
      <c r="A209" t="s">
        <v>4049</v>
      </c>
      <c r="B209" s="100">
        <v>8048</v>
      </c>
      <c r="C209" t="s">
        <v>2693</v>
      </c>
      <c r="D209" s="100">
        <v>17001</v>
      </c>
    </row>
    <row r="210" spans="1:4" x14ac:dyDescent="0.25">
      <c r="A210" t="s">
        <v>4050</v>
      </c>
      <c r="B210" s="100">
        <v>8149</v>
      </c>
      <c r="C210" t="s">
        <v>1220</v>
      </c>
      <c r="D210" s="100">
        <v>27400</v>
      </c>
    </row>
    <row r="211" spans="1:4" x14ac:dyDescent="0.25">
      <c r="A211" t="s">
        <v>4051</v>
      </c>
      <c r="B211" s="100" t="s">
        <v>4052</v>
      </c>
      <c r="C211" t="s">
        <v>2693</v>
      </c>
      <c r="D211" s="100">
        <v>17001</v>
      </c>
    </row>
    <row r="212" spans="1:4" x14ac:dyDescent="0.25">
      <c r="A212" t="s">
        <v>4053</v>
      </c>
      <c r="B212" s="100" t="s">
        <v>4054</v>
      </c>
      <c r="C212" t="s">
        <v>1918</v>
      </c>
      <c r="D212" s="100">
        <v>17414</v>
      </c>
    </row>
    <row r="213" spans="1:4" x14ac:dyDescent="0.25">
      <c r="A213" t="s">
        <v>4055</v>
      </c>
      <c r="B213" s="100" t="s">
        <v>4056</v>
      </c>
      <c r="C213" t="s">
        <v>1918</v>
      </c>
      <c r="D213" s="100">
        <v>17414</v>
      </c>
    </row>
    <row r="214" spans="1:4" x14ac:dyDescent="0.25">
      <c r="A214" t="s">
        <v>4057</v>
      </c>
      <c r="B214" s="100">
        <v>8119</v>
      </c>
      <c r="C214" t="s">
        <v>1170</v>
      </c>
      <c r="D214" s="100">
        <v>21302</v>
      </c>
    </row>
    <row r="215" spans="1:4" x14ac:dyDescent="0.25">
      <c r="A215" t="s">
        <v>4058</v>
      </c>
      <c r="B215" s="100">
        <v>8418</v>
      </c>
      <c r="C215" t="s">
        <v>1259</v>
      </c>
      <c r="D215" s="100">
        <v>36250</v>
      </c>
    </row>
    <row r="216" spans="1:4" x14ac:dyDescent="0.25">
      <c r="A216" t="s">
        <v>4059</v>
      </c>
      <c r="B216" s="100">
        <v>8564</v>
      </c>
      <c r="C216" t="s">
        <v>2626</v>
      </c>
      <c r="D216" s="100">
        <v>3400</v>
      </c>
    </row>
    <row r="217" spans="1:4" x14ac:dyDescent="0.25">
      <c r="A217" t="s">
        <v>4060</v>
      </c>
      <c r="B217" s="100">
        <v>8353</v>
      </c>
      <c r="C217" t="s">
        <v>3059</v>
      </c>
      <c r="D217" s="100">
        <v>27010</v>
      </c>
    </row>
    <row r="218" spans="1:4" x14ac:dyDescent="0.25">
      <c r="A218" t="s">
        <v>4061</v>
      </c>
      <c r="B218" s="100" t="s">
        <v>4062</v>
      </c>
      <c r="C218" t="s">
        <v>1471</v>
      </c>
      <c r="D218" s="100">
        <v>31002</v>
      </c>
    </row>
    <row r="219" spans="1:4" x14ac:dyDescent="0.25">
      <c r="A219" t="s">
        <v>4063</v>
      </c>
      <c r="B219" s="100">
        <v>8998</v>
      </c>
      <c r="C219" t="s">
        <v>2481</v>
      </c>
      <c r="D219" s="100">
        <v>27401</v>
      </c>
    </row>
    <row r="220" spans="1:4" x14ac:dyDescent="0.25">
      <c r="A220" t="s">
        <v>4064</v>
      </c>
      <c r="B220" s="100">
        <v>1469</v>
      </c>
      <c r="C220" t="s">
        <v>925</v>
      </c>
      <c r="D220" s="100">
        <v>17405</v>
      </c>
    </row>
    <row r="221" spans="1:4" x14ac:dyDescent="0.25">
      <c r="A221" t="s">
        <v>4065</v>
      </c>
      <c r="B221" s="100" t="s">
        <v>4066</v>
      </c>
      <c r="C221" t="s">
        <v>903</v>
      </c>
      <c r="D221" s="100">
        <v>6119</v>
      </c>
    </row>
    <row r="222" spans="1:4" x14ac:dyDescent="0.25">
      <c r="A222" t="s">
        <v>4067</v>
      </c>
      <c r="B222" s="100">
        <v>8222</v>
      </c>
      <c r="C222" t="s">
        <v>2019</v>
      </c>
      <c r="D222" s="100">
        <v>37504</v>
      </c>
    </row>
    <row r="223" spans="1:4" x14ac:dyDescent="0.25">
      <c r="A223" t="s">
        <v>4068</v>
      </c>
      <c r="B223" s="100" t="s">
        <v>4069</v>
      </c>
      <c r="C223" t="s">
        <v>889</v>
      </c>
      <c r="D223" s="100">
        <v>18303</v>
      </c>
    </row>
    <row r="224" spans="1:4" x14ac:dyDescent="0.25">
      <c r="A224" t="s">
        <v>4070</v>
      </c>
      <c r="B224" s="100" t="s">
        <v>4071</v>
      </c>
      <c r="C224" t="s">
        <v>1501</v>
      </c>
      <c r="D224" s="100">
        <v>6114</v>
      </c>
    </row>
    <row r="225" spans="1:4" x14ac:dyDescent="0.25">
      <c r="A225" t="s">
        <v>4072</v>
      </c>
      <c r="B225" s="100">
        <v>8494</v>
      </c>
      <c r="C225" t="s">
        <v>3386</v>
      </c>
      <c r="D225" s="100">
        <v>13167</v>
      </c>
    </row>
    <row r="226" spans="1:4" x14ac:dyDescent="0.25">
      <c r="A226" t="s">
        <v>4073</v>
      </c>
      <c r="B226" s="100">
        <v>8937</v>
      </c>
      <c r="C226" t="s">
        <v>2827</v>
      </c>
      <c r="D226" s="100">
        <v>23309</v>
      </c>
    </row>
    <row r="227" spans="1:4" x14ac:dyDescent="0.25">
      <c r="A227" t="s">
        <v>4074</v>
      </c>
      <c r="B227" s="100">
        <v>8165</v>
      </c>
      <c r="C227" t="s">
        <v>2693</v>
      </c>
      <c r="D227" s="100">
        <v>17001</v>
      </c>
    </row>
    <row r="228" spans="1:4" x14ac:dyDescent="0.25">
      <c r="A228" t="s">
        <v>4075</v>
      </c>
      <c r="B228" s="100">
        <v>8013</v>
      </c>
      <c r="C228" t="s">
        <v>903</v>
      </c>
      <c r="D228" s="100">
        <v>6119</v>
      </c>
    </row>
    <row r="229" spans="1:4" x14ac:dyDescent="0.25">
      <c r="A229" t="s">
        <v>4076</v>
      </c>
      <c r="B229" s="100">
        <v>1447</v>
      </c>
      <c r="C229" t="s">
        <v>1586</v>
      </c>
      <c r="D229" s="100">
        <v>37502</v>
      </c>
    </row>
    <row r="230" spans="1:4" x14ac:dyDescent="0.25">
      <c r="A230" t="s">
        <v>4077</v>
      </c>
      <c r="B230" s="100">
        <v>8612</v>
      </c>
      <c r="C230" t="s">
        <v>925</v>
      </c>
      <c r="D230" s="100">
        <v>17405</v>
      </c>
    </row>
    <row r="231" spans="1:4" x14ac:dyDescent="0.25">
      <c r="A231" t="s">
        <v>4078</v>
      </c>
      <c r="B231" s="100" t="s">
        <v>4079</v>
      </c>
      <c r="C231" t="s">
        <v>2895</v>
      </c>
      <c r="D231" s="100">
        <v>25118</v>
      </c>
    </row>
    <row r="232" spans="1:4" x14ac:dyDescent="0.25">
      <c r="A232" t="s">
        <v>4080</v>
      </c>
      <c r="B232" s="100">
        <v>8171</v>
      </c>
      <c r="C232" t="s">
        <v>2113</v>
      </c>
      <c r="D232" s="100">
        <v>31103</v>
      </c>
    </row>
    <row r="233" spans="1:4" x14ac:dyDescent="0.25">
      <c r="A233" t="s">
        <v>4081</v>
      </c>
      <c r="B233" s="100">
        <v>8995</v>
      </c>
      <c r="C233" t="s">
        <v>2113</v>
      </c>
      <c r="D233" s="100">
        <v>31103</v>
      </c>
    </row>
    <row r="234" spans="1:4" x14ac:dyDescent="0.25">
      <c r="A234" t="s">
        <v>4082</v>
      </c>
      <c r="B234" s="100">
        <v>8078</v>
      </c>
      <c r="C234" t="s">
        <v>1539</v>
      </c>
      <c r="D234" s="100">
        <v>17210</v>
      </c>
    </row>
    <row r="235" spans="1:4" x14ac:dyDescent="0.25">
      <c r="A235" t="s">
        <v>4083</v>
      </c>
      <c r="B235" s="100" t="s">
        <v>4084</v>
      </c>
      <c r="C235" t="s">
        <v>957</v>
      </c>
      <c r="D235" s="100">
        <v>37501</v>
      </c>
    </row>
    <row r="236" spans="1:4" x14ac:dyDescent="0.25">
      <c r="A236" t="s">
        <v>4085</v>
      </c>
      <c r="B236" s="100">
        <v>1432</v>
      </c>
      <c r="C236" t="s">
        <v>1918</v>
      </c>
      <c r="D236" s="100">
        <v>17414</v>
      </c>
    </row>
    <row r="237" spans="1:4" x14ac:dyDescent="0.25">
      <c r="A237" t="s">
        <v>4086</v>
      </c>
      <c r="B237" s="100" t="s">
        <v>4087</v>
      </c>
      <c r="C237" t="s">
        <v>889</v>
      </c>
      <c r="D237" s="100">
        <v>18303</v>
      </c>
    </row>
    <row r="238" spans="1:4" x14ac:dyDescent="0.25">
      <c r="A238" t="s">
        <v>4088</v>
      </c>
      <c r="B238" s="100">
        <v>1468</v>
      </c>
      <c r="C238" t="s">
        <v>3408</v>
      </c>
      <c r="D238" s="100">
        <v>39007</v>
      </c>
    </row>
    <row r="239" spans="1:4" x14ac:dyDescent="0.25">
      <c r="A239" t="s">
        <v>4089</v>
      </c>
      <c r="B239" s="100">
        <v>8892</v>
      </c>
      <c r="C239" t="s">
        <v>1471</v>
      </c>
      <c r="D239" s="100">
        <v>31002</v>
      </c>
    </row>
    <row r="240" spans="1:4" x14ac:dyDescent="0.25">
      <c r="A240" t="s">
        <v>4090</v>
      </c>
      <c r="B240" s="100">
        <v>8674</v>
      </c>
      <c r="C240" t="s">
        <v>2693</v>
      </c>
      <c r="D240" s="100">
        <v>17001</v>
      </c>
    </row>
    <row r="241" spans="1:4" x14ac:dyDescent="0.25">
      <c r="A241" t="s">
        <v>4091</v>
      </c>
      <c r="B241" s="100">
        <v>8356</v>
      </c>
      <c r="C241" t="s">
        <v>2135</v>
      </c>
      <c r="D241" s="100">
        <v>13161</v>
      </c>
    </row>
    <row r="242" spans="1:4" x14ac:dyDescent="0.25">
      <c r="A242" t="s">
        <v>4092</v>
      </c>
      <c r="B242" s="100">
        <v>8154</v>
      </c>
      <c r="C242" t="s">
        <v>2168</v>
      </c>
      <c r="D242" s="100">
        <v>29320</v>
      </c>
    </row>
    <row r="243" spans="1:4" x14ac:dyDescent="0.25">
      <c r="A243" t="s">
        <v>4093</v>
      </c>
      <c r="B243" s="100">
        <v>8315</v>
      </c>
      <c r="C243" t="s">
        <v>2819</v>
      </c>
      <c r="D243" s="100">
        <v>5323</v>
      </c>
    </row>
    <row r="244" spans="1:4" x14ac:dyDescent="0.25">
      <c r="A244" t="s">
        <v>4094</v>
      </c>
      <c r="B244" s="100">
        <v>1411</v>
      </c>
      <c r="C244" t="s">
        <v>2180</v>
      </c>
      <c r="D244" s="100">
        <v>31006</v>
      </c>
    </row>
    <row r="245" spans="1:4" x14ac:dyDescent="0.25">
      <c r="A245" t="s">
        <v>4095</v>
      </c>
      <c r="B245" s="100">
        <v>8110</v>
      </c>
      <c r="C245" t="s">
        <v>2594</v>
      </c>
      <c r="D245" s="100">
        <v>17403</v>
      </c>
    </row>
    <row r="246" spans="1:4" x14ac:dyDescent="0.25">
      <c r="A246" t="s">
        <v>4096</v>
      </c>
      <c r="B246" s="100">
        <v>8605</v>
      </c>
      <c r="C246" t="s">
        <v>1459</v>
      </c>
      <c r="D246" s="100">
        <v>13165</v>
      </c>
    </row>
    <row r="247" spans="1:4" x14ac:dyDescent="0.25">
      <c r="A247" t="s">
        <v>4097</v>
      </c>
      <c r="B247" s="100">
        <v>8596</v>
      </c>
      <c r="C247" t="s">
        <v>2200</v>
      </c>
      <c r="D247" s="100">
        <v>39003</v>
      </c>
    </row>
    <row r="248" spans="1:4" x14ac:dyDescent="0.25">
      <c r="A248" t="s">
        <v>4098</v>
      </c>
      <c r="B248" s="100">
        <v>8918</v>
      </c>
      <c r="C248" t="s">
        <v>2427</v>
      </c>
      <c r="D248" s="100">
        <v>24410</v>
      </c>
    </row>
    <row r="249" spans="1:4" x14ac:dyDescent="0.25">
      <c r="A249" t="s">
        <v>4099</v>
      </c>
      <c r="B249" s="100" t="s">
        <v>4100</v>
      </c>
      <c r="C249" t="s">
        <v>2834</v>
      </c>
      <c r="D249" s="100">
        <v>17412</v>
      </c>
    </row>
    <row r="250" spans="1:4" x14ac:dyDescent="0.25">
      <c r="A250" t="s">
        <v>4101</v>
      </c>
      <c r="B250" s="100">
        <v>8725</v>
      </c>
      <c r="C250" t="s">
        <v>2071</v>
      </c>
      <c r="D250" s="100">
        <v>32354</v>
      </c>
    </row>
    <row r="251" spans="1:4" x14ac:dyDescent="0.25">
      <c r="A251" t="s">
        <v>4102</v>
      </c>
      <c r="B251" s="100" t="s">
        <v>4103</v>
      </c>
      <c r="C251" t="s">
        <v>2339</v>
      </c>
      <c r="D251" s="100">
        <v>15201</v>
      </c>
    </row>
    <row r="252" spans="1:4" x14ac:dyDescent="0.25">
      <c r="A252" t="s">
        <v>4104</v>
      </c>
      <c r="B252" s="100" t="s">
        <v>4105</v>
      </c>
      <c r="C252" t="s">
        <v>1918</v>
      </c>
      <c r="D252" s="100">
        <v>17414</v>
      </c>
    </row>
    <row r="253" spans="1:4" x14ac:dyDescent="0.25">
      <c r="A253" t="s">
        <v>4106</v>
      </c>
      <c r="B253" s="100" t="s">
        <v>4107</v>
      </c>
      <c r="C253" t="s">
        <v>1918</v>
      </c>
      <c r="D253" s="100">
        <v>17414</v>
      </c>
    </row>
    <row r="254" spans="1:4" x14ac:dyDescent="0.25">
      <c r="A254" t="s">
        <v>4108</v>
      </c>
      <c r="B254" s="100">
        <v>8111</v>
      </c>
      <c r="C254" t="s">
        <v>2180</v>
      </c>
      <c r="D254" s="100">
        <v>31006</v>
      </c>
    </row>
    <row r="255" spans="1:4" x14ac:dyDescent="0.25">
      <c r="A255" t="s">
        <v>4109</v>
      </c>
      <c r="B255" s="100" t="s">
        <v>4110</v>
      </c>
      <c r="C255" t="s">
        <v>2926</v>
      </c>
      <c r="D255" s="100">
        <v>32081</v>
      </c>
    </row>
    <row r="256" spans="1:4" x14ac:dyDescent="0.25">
      <c r="A256" t="s">
        <v>4111</v>
      </c>
      <c r="B256" s="100">
        <v>8311</v>
      </c>
      <c r="C256" t="s">
        <v>2271</v>
      </c>
      <c r="D256" s="100">
        <v>34003</v>
      </c>
    </row>
    <row r="257" spans="1:4" x14ac:dyDescent="0.25">
      <c r="A257" t="s">
        <v>4112</v>
      </c>
      <c r="B257" s="100">
        <v>8174</v>
      </c>
      <c r="C257" t="s">
        <v>2271</v>
      </c>
      <c r="D257" s="100">
        <v>34003</v>
      </c>
    </row>
    <row r="258" spans="1:4" x14ac:dyDescent="0.25">
      <c r="A258" t="s">
        <v>4113</v>
      </c>
      <c r="B258" s="100">
        <v>8129</v>
      </c>
      <c r="C258" t="s">
        <v>2527</v>
      </c>
      <c r="D258" s="100">
        <v>27003</v>
      </c>
    </row>
    <row r="259" spans="1:4" x14ac:dyDescent="0.25">
      <c r="A259" t="s">
        <v>4114</v>
      </c>
      <c r="B259" s="100">
        <v>8270</v>
      </c>
      <c r="C259" t="s">
        <v>2071</v>
      </c>
      <c r="D259" s="100">
        <v>32354</v>
      </c>
    </row>
    <row r="260" spans="1:4" x14ac:dyDescent="0.25">
      <c r="A260" t="s">
        <v>4115</v>
      </c>
      <c r="B260" s="100" t="s">
        <v>4116</v>
      </c>
      <c r="C260" t="s">
        <v>1653</v>
      </c>
      <c r="D260" s="100">
        <v>39204</v>
      </c>
    </row>
    <row r="261" spans="1:4" x14ac:dyDescent="0.25">
      <c r="A261" t="s">
        <v>4117</v>
      </c>
      <c r="B261" s="100">
        <v>8894</v>
      </c>
      <c r="C261" t="s">
        <v>2693</v>
      </c>
      <c r="D261" s="100">
        <v>17001</v>
      </c>
    </row>
    <row r="262" spans="1:4" x14ac:dyDescent="0.25">
      <c r="A262" t="s">
        <v>4117</v>
      </c>
      <c r="B262" s="100" t="s">
        <v>4118</v>
      </c>
      <c r="C262" t="s">
        <v>2693</v>
      </c>
      <c r="D262" s="100">
        <v>17001</v>
      </c>
    </row>
    <row r="263" spans="1:4" x14ac:dyDescent="0.25">
      <c r="A263" t="s">
        <v>4119</v>
      </c>
      <c r="B263" s="100">
        <v>8684</v>
      </c>
      <c r="C263" t="s">
        <v>2834</v>
      </c>
      <c r="D263" s="100">
        <v>17412</v>
      </c>
    </row>
    <row r="264" spans="1:4" x14ac:dyDescent="0.25">
      <c r="A264" t="s">
        <v>4120</v>
      </c>
      <c r="B264" s="100">
        <v>8569</v>
      </c>
      <c r="C264" t="s">
        <v>2092</v>
      </c>
      <c r="D264" s="100">
        <v>17400</v>
      </c>
    </row>
    <row r="265" spans="1:4" x14ac:dyDescent="0.25">
      <c r="A265" t="s">
        <v>4121</v>
      </c>
      <c r="B265" s="100">
        <v>8948</v>
      </c>
      <c r="C265" t="s">
        <v>2378</v>
      </c>
      <c r="D265" s="100">
        <v>34111</v>
      </c>
    </row>
    <row r="266" spans="1:4" x14ac:dyDescent="0.25">
      <c r="A266" t="s">
        <v>4122</v>
      </c>
      <c r="B266" s="100" t="s">
        <v>4123</v>
      </c>
      <c r="C266" t="s">
        <v>2450</v>
      </c>
      <c r="D266" s="100">
        <v>11001</v>
      </c>
    </row>
    <row r="267" spans="1:4" x14ac:dyDescent="0.25">
      <c r="A267" t="s">
        <v>4124</v>
      </c>
      <c r="B267" s="100">
        <v>8050</v>
      </c>
      <c r="C267" t="s">
        <v>2693</v>
      </c>
      <c r="D267" s="100">
        <v>17001</v>
      </c>
    </row>
    <row r="268" spans="1:4" x14ac:dyDescent="0.25">
      <c r="A268" t="s">
        <v>4125</v>
      </c>
      <c r="B268" s="100">
        <v>8026</v>
      </c>
      <c r="C268" t="s">
        <v>2339</v>
      </c>
      <c r="D268" s="100">
        <v>15201</v>
      </c>
    </row>
    <row r="269" spans="1:4" x14ac:dyDescent="0.25">
      <c r="A269" t="s">
        <v>4126</v>
      </c>
      <c r="B269" s="100">
        <v>1413</v>
      </c>
      <c r="C269" t="s">
        <v>3345</v>
      </c>
      <c r="D269" s="100">
        <v>39208</v>
      </c>
    </row>
    <row r="270" spans="1:4" x14ac:dyDescent="0.25">
      <c r="A270" t="s">
        <v>4127</v>
      </c>
      <c r="B270" s="100">
        <v>8209</v>
      </c>
      <c r="C270" t="s">
        <v>2378</v>
      </c>
      <c r="D270" s="100">
        <v>34111</v>
      </c>
    </row>
    <row r="271" spans="1:4" x14ac:dyDescent="0.25">
      <c r="A271" t="s">
        <v>4128</v>
      </c>
      <c r="B271" s="100">
        <v>8317</v>
      </c>
      <c r="C271" t="s">
        <v>2378</v>
      </c>
      <c r="D271" s="100">
        <v>34111</v>
      </c>
    </row>
    <row r="272" spans="1:4" x14ac:dyDescent="0.25">
      <c r="A272" t="s">
        <v>4129</v>
      </c>
      <c r="B272" s="100">
        <v>8855</v>
      </c>
      <c r="C272" t="s">
        <v>3179</v>
      </c>
      <c r="D272" s="100">
        <v>34033</v>
      </c>
    </row>
    <row r="273" spans="1:4" x14ac:dyDescent="0.25">
      <c r="A273" t="s">
        <v>4130</v>
      </c>
      <c r="B273" s="100">
        <v>8302</v>
      </c>
      <c r="C273" t="s">
        <v>2501</v>
      </c>
      <c r="D273" s="100">
        <v>5121</v>
      </c>
    </row>
    <row r="274" spans="1:4" x14ac:dyDescent="0.25">
      <c r="A274" t="s">
        <v>4131</v>
      </c>
      <c r="B274" s="100">
        <v>8985</v>
      </c>
      <c r="C274" t="s">
        <v>2399</v>
      </c>
      <c r="D274" s="100">
        <v>24019</v>
      </c>
    </row>
    <row r="275" spans="1:4" x14ac:dyDescent="0.25">
      <c r="A275" t="s">
        <v>4132</v>
      </c>
      <c r="B275" s="100" t="s">
        <v>4133</v>
      </c>
      <c r="C275" t="s">
        <v>2693</v>
      </c>
      <c r="D275" s="100">
        <v>17001</v>
      </c>
    </row>
    <row r="276" spans="1:4" x14ac:dyDescent="0.25">
      <c r="A276" t="s">
        <v>4134</v>
      </c>
      <c r="B276" s="100">
        <v>8830</v>
      </c>
      <c r="C276" t="s">
        <v>1742</v>
      </c>
      <c r="D276" s="100">
        <v>17411</v>
      </c>
    </row>
    <row r="277" spans="1:4" x14ac:dyDescent="0.25">
      <c r="A277" t="s">
        <v>4135</v>
      </c>
      <c r="B277" s="100">
        <v>8557</v>
      </c>
      <c r="C277" t="s">
        <v>2415</v>
      </c>
      <c r="D277" s="100">
        <v>28137</v>
      </c>
    </row>
    <row r="278" spans="1:4" x14ac:dyDescent="0.25">
      <c r="A278" t="s">
        <v>4136</v>
      </c>
      <c r="B278" s="100">
        <v>8051</v>
      </c>
      <c r="C278" t="s">
        <v>2693</v>
      </c>
      <c r="D278" s="100">
        <v>17001</v>
      </c>
    </row>
    <row r="279" spans="1:4" x14ac:dyDescent="0.25">
      <c r="A279" t="s">
        <v>4137</v>
      </c>
      <c r="B279" s="100">
        <v>8052</v>
      </c>
      <c r="C279" t="s">
        <v>2693</v>
      </c>
      <c r="D279" s="100">
        <v>17001</v>
      </c>
    </row>
    <row r="280" spans="1:4" x14ac:dyDescent="0.25">
      <c r="A280" t="s">
        <v>4138</v>
      </c>
      <c r="B280" s="100">
        <v>8009</v>
      </c>
      <c r="C280" t="s">
        <v>3211</v>
      </c>
      <c r="D280" s="100">
        <v>6037</v>
      </c>
    </row>
    <row r="281" spans="1:4" x14ac:dyDescent="0.25">
      <c r="A281" t="s">
        <v>4139</v>
      </c>
      <c r="B281" s="100">
        <v>8054</v>
      </c>
      <c r="C281" t="s">
        <v>2693</v>
      </c>
      <c r="D281" s="100">
        <v>17001</v>
      </c>
    </row>
    <row r="282" spans="1:4" x14ac:dyDescent="0.25">
      <c r="A282" t="s">
        <v>4140</v>
      </c>
      <c r="B282" s="100">
        <v>8115</v>
      </c>
      <c r="C282" t="s">
        <v>1031</v>
      </c>
      <c r="D282" s="100">
        <v>18100</v>
      </c>
    </row>
    <row r="283" spans="1:4" x14ac:dyDescent="0.25">
      <c r="A283" t="s">
        <v>4141</v>
      </c>
      <c r="B283" s="100">
        <v>1474</v>
      </c>
      <c r="C283" t="s">
        <v>1539</v>
      </c>
      <c r="D283" s="100">
        <v>17210</v>
      </c>
    </row>
    <row r="284" spans="1:4" x14ac:dyDescent="0.25">
      <c r="A284" t="s">
        <v>4142</v>
      </c>
      <c r="B284" s="100">
        <v>8772</v>
      </c>
      <c r="C284" t="s">
        <v>1539</v>
      </c>
      <c r="D284" s="100">
        <v>17210</v>
      </c>
    </row>
    <row r="285" spans="1:4" x14ac:dyDescent="0.25">
      <c r="A285" t="s">
        <v>4143</v>
      </c>
      <c r="B285" s="100">
        <v>8929</v>
      </c>
      <c r="C285" t="s">
        <v>2693</v>
      </c>
      <c r="D285" s="100">
        <v>17001</v>
      </c>
    </row>
    <row r="286" spans="1:4" x14ac:dyDescent="0.25">
      <c r="A286" t="s">
        <v>4144</v>
      </c>
      <c r="B286" s="100" t="s">
        <v>4145</v>
      </c>
      <c r="C286" t="s">
        <v>1539</v>
      </c>
      <c r="D286" s="100">
        <v>17210</v>
      </c>
    </row>
    <row r="287" spans="1:4" x14ac:dyDescent="0.25">
      <c r="A287" t="s">
        <v>4146</v>
      </c>
      <c r="B287" s="100" t="s">
        <v>4147</v>
      </c>
      <c r="C287" t="s">
        <v>1742</v>
      </c>
      <c r="D287" s="100">
        <v>17411</v>
      </c>
    </row>
    <row r="288" spans="1:4" x14ac:dyDescent="0.25">
      <c r="A288" t="s">
        <v>4148</v>
      </c>
      <c r="B288" s="100">
        <v>8419</v>
      </c>
      <c r="C288" t="s">
        <v>2834</v>
      </c>
      <c r="D288" s="100">
        <v>17412</v>
      </c>
    </row>
    <row r="289" spans="1:4" x14ac:dyDescent="0.25">
      <c r="A289" t="s">
        <v>4149</v>
      </c>
      <c r="B289" s="100">
        <v>8186</v>
      </c>
      <c r="C289" t="s">
        <v>2926</v>
      </c>
      <c r="D289" s="100">
        <v>32081</v>
      </c>
    </row>
    <row r="290" spans="1:4" x14ac:dyDescent="0.25">
      <c r="A290" t="s">
        <v>4150</v>
      </c>
      <c r="B290" s="100" t="s">
        <v>4151</v>
      </c>
      <c r="C290" t="s">
        <v>2271</v>
      </c>
      <c r="D290" s="100">
        <v>34003</v>
      </c>
    </row>
    <row r="291" spans="1:4" x14ac:dyDescent="0.25">
      <c r="A291" t="s">
        <v>4152</v>
      </c>
      <c r="B291" s="100">
        <v>8150</v>
      </c>
      <c r="C291" t="s">
        <v>1610</v>
      </c>
      <c r="D291" s="100">
        <v>27402</v>
      </c>
    </row>
    <row r="292" spans="1:4" x14ac:dyDescent="0.25">
      <c r="A292" t="s">
        <v>4153</v>
      </c>
      <c r="B292" s="100">
        <v>8613</v>
      </c>
      <c r="C292" t="s">
        <v>1108</v>
      </c>
      <c r="D292" s="100">
        <v>18401</v>
      </c>
    </row>
    <row r="293" spans="1:4" x14ac:dyDescent="0.25">
      <c r="A293" t="s">
        <v>4154</v>
      </c>
      <c r="B293" s="100">
        <v>8724</v>
      </c>
      <c r="C293" t="s">
        <v>1128</v>
      </c>
      <c r="D293" s="100">
        <v>32356</v>
      </c>
    </row>
    <row r="294" spans="1:4" x14ac:dyDescent="0.25">
      <c r="A294" t="s">
        <v>4155</v>
      </c>
      <c r="B294" s="100" t="s">
        <v>4156</v>
      </c>
      <c r="C294" t="s">
        <v>2271</v>
      </c>
      <c r="D294" s="100">
        <v>34003</v>
      </c>
    </row>
    <row r="295" spans="1:4" x14ac:dyDescent="0.25">
      <c r="A295" t="s">
        <v>4157</v>
      </c>
      <c r="B295" s="100">
        <v>8874</v>
      </c>
      <c r="C295" t="s">
        <v>2246</v>
      </c>
      <c r="D295" s="100">
        <v>18400</v>
      </c>
    </row>
    <row r="296" spans="1:4" x14ac:dyDescent="0.25">
      <c r="A296" t="s">
        <v>4158</v>
      </c>
      <c r="B296" s="100">
        <v>8493</v>
      </c>
      <c r="C296" t="s">
        <v>1586</v>
      </c>
      <c r="D296" s="100">
        <v>37502</v>
      </c>
    </row>
    <row r="297" spans="1:4" x14ac:dyDescent="0.25">
      <c r="A297" t="s">
        <v>4159</v>
      </c>
      <c r="B297" s="100">
        <v>1449</v>
      </c>
      <c r="C297" t="s">
        <v>2297</v>
      </c>
      <c r="D297" s="100">
        <v>17417</v>
      </c>
    </row>
    <row r="298" spans="1:4" x14ac:dyDescent="0.25">
      <c r="A298" t="s">
        <v>4160</v>
      </c>
      <c r="B298" s="100">
        <v>8259</v>
      </c>
      <c r="C298" t="s">
        <v>1918</v>
      </c>
      <c r="D298" s="100">
        <v>17414</v>
      </c>
    </row>
    <row r="299" spans="1:4" x14ac:dyDescent="0.25">
      <c r="A299" t="s">
        <v>4161</v>
      </c>
      <c r="B299" s="100">
        <v>8652</v>
      </c>
      <c r="C299" t="s">
        <v>2693</v>
      </c>
      <c r="D299" s="100">
        <v>17001</v>
      </c>
    </row>
    <row r="300" spans="1:4" x14ac:dyDescent="0.25">
      <c r="A300" t="s">
        <v>4162</v>
      </c>
      <c r="B300" s="100">
        <v>8397</v>
      </c>
      <c r="C300" t="s">
        <v>2525</v>
      </c>
      <c r="D300" s="100">
        <v>38267</v>
      </c>
    </row>
    <row r="301" spans="1:4" x14ac:dyDescent="0.25">
      <c r="A301" t="s">
        <v>4163</v>
      </c>
      <c r="B301" s="100">
        <v>8006</v>
      </c>
      <c r="C301" t="s">
        <v>2501</v>
      </c>
      <c r="D301" s="100">
        <v>5121</v>
      </c>
    </row>
    <row r="302" spans="1:4" x14ac:dyDescent="0.25">
      <c r="A302" t="s">
        <v>4164</v>
      </c>
      <c r="B302" s="100">
        <v>1472</v>
      </c>
      <c r="C302" t="s">
        <v>2577</v>
      </c>
      <c r="D302" s="100">
        <v>13144</v>
      </c>
    </row>
    <row r="303" spans="1:4" x14ac:dyDescent="0.25">
      <c r="A303" t="s">
        <v>4165</v>
      </c>
      <c r="B303" s="100" t="s">
        <v>4166</v>
      </c>
      <c r="C303" t="s">
        <v>2693</v>
      </c>
      <c r="D303" s="100">
        <v>17001</v>
      </c>
    </row>
    <row r="304" spans="1:4" x14ac:dyDescent="0.25">
      <c r="A304" t="s">
        <v>4167</v>
      </c>
      <c r="B304" s="100">
        <v>8099</v>
      </c>
      <c r="C304" t="s">
        <v>1820</v>
      </c>
      <c r="D304" s="100">
        <v>17415</v>
      </c>
    </row>
    <row r="305" spans="1:4" x14ac:dyDescent="0.25">
      <c r="A305" t="s">
        <v>4168</v>
      </c>
      <c r="B305" s="100" t="s">
        <v>4169</v>
      </c>
      <c r="C305" t="s">
        <v>1820</v>
      </c>
      <c r="D305" s="100">
        <v>17415</v>
      </c>
    </row>
    <row r="306" spans="1:4" x14ac:dyDescent="0.25">
      <c r="A306" t="s">
        <v>4170</v>
      </c>
      <c r="B306" s="100">
        <v>8242</v>
      </c>
      <c r="C306" t="s">
        <v>864</v>
      </c>
      <c r="D306" s="100">
        <v>17408</v>
      </c>
    </row>
    <row r="307" spans="1:4" x14ac:dyDescent="0.25">
      <c r="A307" t="s">
        <v>4171</v>
      </c>
      <c r="B307" s="100">
        <v>8540</v>
      </c>
      <c r="C307" t="s">
        <v>2594</v>
      </c>
      <c r="D307" s="100">
        <v>17403</v>
      </c>
    </row>
    <row r="308" spans="1:4" x14ac:dyDescent="0.25">
      <c r="A308" t="s">
        <v>4172</v>
      </c>
      <c r="B308" s="100" t="s">
        <v>4173</v>
      </c>
      <c r="C308" t="s">
        <v>2594</v>
      </c>
      <c r="D308" s="100">
        <v>17403</v>
      </c>
    </row>
    <row r="309" spans="1:4" x14ac:dyDescent="0.25">
      <c r="A309" t="s">
        <v>4174</v>
      </c>
      <c r="B309" s="100" t="s">
        <v>4175</v>
      </c>
      <c r="C309" t="s">
        <v>3020</v>
      </c>
      <c r="D309" s="100">
        <v>31311</v>
      </c>
    </row>
    <row r="310" spans="1:4" x14ac:dyDescent="0.25">
      <c r="A310" t="s">
        <v>4176</v>
      </c>
      <c r="B310" s="100" t="s">
        <v>4177</v>
      </c>
      <c r="C310" t="s">
        <v>2926</v>
      </c>
      <c r="D310" s="100">
        <v>32081</v>
      </c>
    </row>
    <row r="311" spans="1:4" x14ac:dyDescent="0.25">
      <c r="A311" t="s">
        <v>4178</v>
      </c>
      <c r="B311" s="100">
        <v>8973</v>
      </c>
      <c r="C311" t="s">
        <v>1068</v>
      </c>
      <c r="D311" s="100">
        <v>6117</v>
      </c>
    </row>
    <row r="312" spans="1:4" x14ac:dyDescent="0.25">
      <c r="A312" t="s">
        <v>4178</v>
      </c>
      <c r="B312" s="100">
        <v>8316</v>
      </c>
      <c r="C312" t="s">
        <v>1350</v>
      </c>
      <c r="D312" s="100">
        <v>39090</v>
      </c>
    </row>
    <row r="313" spans="1:4" x14ac:dyDescent="0.25">
      <c r="A313" t="s">
        <v>4179</v>
      </c>
      <c r="B313" s="100" t="s">
        <v>4180</v>
      </c>
      <c r="C313" t="s">
        <v>1272</v>
      </c>
      <c r="D313" s="100">
        <v>33115</v>
      </c>
    </row>
    <row r="314" spans="1:4" x14ac:dyDescent="0.25">
      <c r="A314" t="s">
        <v>4181</v>
      </c>
      <c r="B314" s="100">
        <v>8213</v>
      </c>
      <c r="C314" t="s">
        <v>1259</v>
      </c>
      <c r="D314" s="100">
        <v>36250</v>
      </c>
    </row>
    <row r="315" spans="1:4" x14ac:dyDescent="0.25">
      <c r="A315" t="s">
        <v>4182</v>
      </c>
      <c r="B315" s="100" t="s">
        <v>4183</v>
      </c>
      <c r="C315" t="s">
        <v>1894</v>
      </c>
      <c r="D315" s="100">
        <v>4129</v>
      </c>
    </row>
    <row r="316" spans="1:4" x14ac:dyDescent="0.25">
      <c r="A316" t="s">
        <v>4184</v>
      </c>
      <c r="B316" s="100">
        <v>8093</v>
      </c>
      <c r="C316" t="s">
        <v>925</v>
      </c>
      <c r="D316" s="100">
        <v>17405</v>
      </c>
    </row>
    <row r="317" spans="1:4" x14ac:dyDescent="0.25">
      <c r="A317" t="s">
        <v>4185</v>
      </c>
      <c r="B317" s="100">
        <v>1498</v>
      </c>
      <c r="C317" t="s">
        <v>2436</v>
      </c>
      <c r="D317" s="100">
        <v>1147</v>
      </c>
    </row>
    <row r="318" spans="1:4" x14ac:dyDescent="0.25">
      <c r="A318" t="s">
        <v>4186</v>
      </c>
      <c r="B318" s="100" t="s">
        <v>4187</v>
      </c>
      <c r="C318" t="s">
        <v>2626</v>
      </c>
      <c r="D318" s="100">
        <v>3400</v>
      </c>
    </row>
    <row r="319" spans="1:4" x14ac:dyDescent="0.25">
      <c r="A319" t="s">
        <v>4188</v>
      </c>
      <c r="B319" s="100">
        <v>8624</v>
      </c>
      <c r="C319" t="s">
        <v>889</v>
      </c>
      <c r="D319" s="100">
        <v>18303</v>
      </c>
    </row>
    <row r="320" spans="1:4" x14ac:dyDescent="0.25">
      <c r="A320" t="s">
        <v>4189</v>
      </c>
      <c r="B320" s="100">
        <v>8199</v>
      </c>
      <c r="C320" t="s">
        <v>2071</v>
      </c>
      <c r="D320" s="100">
        <v>32354</v>
      </c>
    </row>
    <row r="321" spans="1:4" x14ac:dyDescent="0.25">
      <c r="A321" t="s">
        <v>4190</v>
      </c>
      <c r="B321" s="100">
        <v>8004</v>
      </c>
      <c r="C321" t="s">
        <v>3317</v>
      </c>
      <c r="D321" s="100">
        <v>4246</v>
      </c>
    </row>
    <row r="322" spans="1:4" x14ac:dyDescent="0.25">
      <c r="A322" t="s">
        <v>4191</v>
      </c>
      <c r="B322" s="100">
        <v>8022</v>
      </c>
      <c r="C322" t="s">
        <v>816</v>
      </c>
      <c r="D322" s="100">
        <v>14005</v>
      </c>
    </row>
    <row r="323" spans="1:4" x14ac:dyDescent="0.25">
      <c r="A323" t="s">
        <v>4192</v>
      </c>
      <c r="B323" s="100">
        <v>8143</v>
      </c>
      <c r="C323" t="s">
        <v>3059</v>
      </c>
      <c r="D323" s="100">
        <v>27010</v>
      </c>
    </row>
    <row r="324" spans="1:4" x14ac:dyDescent="0.25">
      <c r="A324" t="s">
        <v>4193</v>
      </c>
      <c r="B324" s="100">
        <v>8200</v>
      </c>
      <c r="C324" t="s">
        <v>2071</v>
      </c>
      <c r="D324" s="100">
        <v>32354</v>
      </c>
    </row>
    <row r="325" spans="1:4" x14ac:dyDescent="0.25">
      <c r="A325" t="s">
        <v>4194</v>
      </c>
      <c r="B325" s="100" t="s">
        <v>4195</v>
      </c>
      <c r="C325" t="s">
        <v>2926</v>
      </c>
      <c r="D325" s="100">
        <v>32081</v>
      </c>
    </row>
    <row r="326" spans="1:4" x14ac:dyDescent="0.25">
      <c r="A326" t="s">
        <v>4196</v>
      </c>
      <c r="B326" s="100" t="s">
        <v>4197</v>
      </c>
      <c r="C326" t="s">
        <v>1058</v>
      </c>
      <c r="D326" s="100">
        <v>29100</v>
      </c>
    </row>
    <row r="327" spans="1:4" x14ac:dyDescent="0.25">
      <c r="A327" t="s">
        <v>4198</v>
      </c>
      <c r="B327" s="100">
        <v>8636</v>
      </c>
      <c r="C327" t="s">
        <v>2415</v>
      </c>
      <c r="D327" s="100">
        <v>28137</v>
      </c>
    </row>
    <row r="328" spans="1:4" x14ac:dyDescent="0.25">
      <c r="A328" t="s">
        <v>4199</v>
      </c>
      <c r="B328" s="100">
        <v>1493</v>
      </c>
      <c r="C328" t="s">
        <v>2527</v>
      </c>
      <c r="D328" s="100">
        <v>27003</v>
      </c>
    </row>
    <row r="329" spans="1:4" x14ac:dyDescent="0.25">
      <c r="A329" t="s">
        <v>4200</v>
      </c>
      <c r="B329" s="100" t="s">
        <v>4201</v>
      </c>
      <c r="C329" t="s">
        <v>925</v>
      </c>
      <c r="D329" s="100">
        <v>17405</v>
      </c>
    </row>
    <row r="330" spans="1:4" x14ac:dyDescent="0.25">
      <c r="A330" t="s">
        <v>4202</v>
      </c>
      <c r="B330" s="100">
        <v>8907</v>
      </c>
      <c r="C330" t="s">
        <v>3059</v>
      </c>
      <c r="D330" s="100">
        <v>27010</v>
      </c>
    </row>
    <row r="331" spans="1:4" x14ac:dyDescent="0.25">
      <c r="A331" t="s">
        <v>4203</v>
      </c>
      <c r="B331" s="100">
        <v>8761</v>
      </c>
      <c r="C331" t="s">
        <v>2693</v>
      </c>
      <c r="D331" s="100">
        <v>17001</v>
      </c>
    </row>
    <row r="332" spans="1:4" x14ac:dyDescent="0.25">
      <c r="A332" t="s">
        <v>4204</v>
      </c>
      <c r="B332" s="100" t="s">
        <v>4205</v>
      </c>
      <c r="C332" t="s">
        <v>2693</v>
      </c>
      <c r="D332" s="100">
        <v>17001</v>
      </c>
    </row>
    <row r="333" spans="1:4" x14ac:dyDescent="0.25">
      <c r="A333" t="s">
        <v>4206</v>
      </c>
      <c r="B333" s="100" t="s">
        <v>4207</v>
      </c>
      <c r="C333" t="s">
        <v>2693</v>
      </c>
      <c r="D333" s="100">
        <v>17001</v>
      </c>
    </row>
    <row r="334" spans="1:4" x14ac:dyDescent="0.25">
      <c r="A334" t="s">
        <v>4208</v>
      </c>
      <c r="B334" s="100">
        <v>8084</v>
      </c>
      <c r="C334" t="s">
        <v>1686</v>
      </c>
      <c r="D334" s="100">
        <v>17401</v>
      </c>
    </row>
    <row r="335" spans="1:4" x14ac:dyDescent="0.25">
      <c r="A335" t="s">
        <v>4209</v>
      </c>
      <c r="B335" s="100" t="s">
        <v>4210</v>
      </c>
      <c r="C335" t="s">
        <v>2693</v>
      </c>
      <c r="D335" s="100">
        <v>17001</v>
      </c>
    </row>
    <row r="336" spans="1:4" x14ac:dyDescent="0.25">
      <c r="A336" t="s">
        <v>4211</v>
      </c>
      <c r="B336" s="100">
        <v>8085</v>
      </c>
      <c r="C336" t="s">
        <v>2693</v>
      </c>
      <c r="D336" s="100">
        <v>17001</v>
      </c>
    </row>
    <row r="337" spans="1:4" x14ac:dyDescent="0.25">
      <c r="A337" t="s">
        <v>4212</v>
      </c>
      <c r="B337" s="100">
        <v>8500</v>
      </c>
      <c r="C337" t="s">
        <v>2693</v>
      </c>
      <c r="D337" s="100">
        <v>17001</v>
      </c>
    </row>
    <row r="338" spans="1:4" x14ac:dyDescent="0.25">
      <c r="A338" t="s">
        <v>4213</v>
      </c>
      <c r="B338" s="100">
        <v>8057</v>
      </c>
      <c r="C338" t="s">
        <v>2693</v>
      </c>
      <c r="D338" s="100">
        <v>17001</v>
      </c>
    </row>
    <row r="339" spans="1:4" x14ac:dyDescent="0.25">
      <c r="A339" t="s">
        <v>4214</v>
      </c>
      <c r="B339" s="100">
        <v>8017</v>
      </c>
      <c r="C339" t="s">
        <v>2693</v>
      </c>
      <c r="D339" s="100">
        <v>17001</v>
      </c>
    </row>
    <row r="340" spans="1:4" x14ac:dyDescent="0.25">
      <c r="A340" t="s">
        <v>4215</v>
      </c>
      <c r="B340" s="100">
        <v>8455</v>
      </c>
      <c r="C340" t="s">
        <v>2693</v>
      </c>
      <c r="D340" s="100">
        <v>17001</v>
      </c>
    </row>
    <row r="341" spans="1:4" x14ac:dyDescent="0.25">
      <c r="A341" t="s">
        <v>4216</v>
      </c>
      <c r="B341" s="100" t="s">
        <v>4217</v>
      </c>
      <c r="C341" t="s">
        <v>1686</v>
      </c>
      <c r="D341" s="100">
        <v>17401</v>
      </c>
    </row>
    <row r="342" spans="1:4" x14ac:dyDescent="0.25">
      <c r="A342" t="s">
        <v>4218</v>
      </c>
      <c r="B342" s="100" t="s">
        <v>4219</v>
      </c>
      <c r="C342" t="s">
        <v>2693</v>
      </c>
      <c r="D342" s="100">
        <v>17001</v>
      </c>
    </row>
    <row r="343" spans="1:4" x14ac:dyDescent="0.25">
      <c r="A343" t="s">
        <v>4220</v>
      </c>
      <c r="B343" s="100">
        <v>8059</v>
      </c>
      <c r="C343" t="s">
        <v>2693</v>
      </c>
      <c r="D343" s="100">
        <v>17001</v>
      </c>
    </row>
    <row r="344" spans="1:4" x14ac:dyDescent="0.25">
      <c r="A344" t="s">
        <v>4221</v>
      </c>
      <c r="B344" s="100" t="s">
        <v>4222</v>
      </c>
      <c r="C344" t="s">
        <v>2693</v>
      </c>
      <c r="D344" s="100">
        <v>17001</v>
      </c>
    </row>
    <row r="345" spans="1:4" x14ac:dyDescent="0.25">
      <c r="A345" t="s">
        <v>4223</v>
      </c>
      <c r="B345" s="100">
        <v>8940</v>
      </c>
      <c r="C345" t="s">
        <v>2693</v>
      </c>
      <c r="D345" s="100">
        <v>17001</v>
      </c>
    </row>
    <row r="346" spans="1:4" x14ac:dyDescent="0.25">
      <c r="A346" t="s">
        <v>4224</v>
      </c>
      <c r="B346" s="100" t="s">
        <v>4225</v>
      </c>
      <c r="C346" t="s">
        <v>925</v>
      </c>
      <c r="D346" s="100">
        <v>17405</v>
      </c>
    </row>
    <row r="347" spans="1:4" x14ac:dyDescent="0.25">
      <c r="A347" t="s">
        <v>4226</v>
      </c>
      <c r="B347" s="100">
        <v>8628</v>
      </c>
      <c r="C347" t="s">
        <v>2693</v>
      </c>
      <c r="D347" s="100">
        <v>17001</v>
      </c>
    </row>
    <row r="348" spans="1:4" x14ac:dyDescent="0.25">
      <c r="A348" t="s">
        <v>4227</v>
      </c>
      <c r="B348" s="100" t="s">
        <v>4228</v>
      </c>
      <c r="C348" t="s">
        <v>903</v>
      </c>
      <c r="D348" s="100">
        <v>6119</v>
      </c>
    </row>
    <row r="349" spans="1:4" x14ac:dyDescent="0.25">
      <c r="A349" t="s">
        <v>4229</v>
      </c>
      <c r="B349" s="100">
        <v>8123</v>
      </c>
      <c r="C349" t="s">
        <v>2827</v>
      </c>
      <c r="D349" s="100">
        <v>23309</v>
      </c>
    </row>
    <row r="350" spans="1:4" x14ac:dyDescent="0.25">
      <c r="A350" t="s">
        <v>4230</v>
      </c>
      <c r="B350" s="100">
        <v>8105</v>
      </c>
      <c r="C350" t="s">
        <v>2834</v>
      </c>
      <c r="D350" s="100">
        <v>17412</v>
      </c>
    </row>
    <row r="351" spans="1:4" x14ac:dyDescent="0.25">
      <c r="A351" t="s">
        <v>4231</v>
      </c>
      <c r="B351" s="100">
        <v>8816</v>
      </c>
      <c r="C351" t="s">
        <v>2246</v>
      </c>
      <c r="D351" s="100">
        <v>18400</v>
      </c>
    </row>
    <row r="352" spans="1:4" x14ac:dyDescent="0.25">
      <c r="A352" t="s">
        <v>4232</v>
      </c>
      <c r="B352" s="100">
        <v>8151</v>
      </c>
      <c r="C352" t="s">
        <v>1058</v>
      </c>
      <c r="D352" s="100">
        <v>29100</v>
      </c>
    </row>
    <row r="353" spans="1:4" x14ac:dyDescent="0.25">
      <c r="A353" t="s">
        <v>4233</v>
      </c>
      <c r="B353" s="100">
        <v>8975</v>
      </c>
      <c r="C353" t="s">
        <v>3211</v>
      </c>
      <c r="D353" s="100">
        <v>6037</v>
      </c>
    </row>
    <row r="354" spans="1:4" x14ac:dyDescent="0.25">
      <c r="A354" t="s">
        <v>4234</v>
      </c>
      <c r="B354" s="100" t="s">
        <v>4235</v>
      </c>
      <c r="C354" t="s">
        <v>2113</v>
      </c>
      <c r="D354" s="100">
        <v>31103</v>
      </c>
    </row>
    <row r="355" spans="1:4" x14ac:dyDescent="0.25">
      <c r="A355" t="s">
        <v>4236</v>
      </c>
      <c r="B355" s="100" t="s">
        <v>4237</v>
      </c>
      <c r="C355" t="s">
        <v>1791</v>
      </c>
      <c r="D355" s="100">
        <v>3017</v>
      </c>
    </row>
    <row r="356" spans="1:4" x14ac:dyDescent="0.25">
      <c r="A356" t="s">
        <v>4238</v>
      </c>
      <c r="B356" s="100" t="s">
        <v>4239</v>
      </c>
      <c r="C356" t="s">
        <v>1501</v>
      </c>
      <c r="D356" s="100">
        <v>6114</v>
      </c>
    </row>
    <row r="357" spans="1:4" x14ac:dyDescent="0.25">
      <c r="A357" t="s">
        <v>4240</v>
      </c>
      <c r="B357" s="100">
        <v>1489</v>
      </c>
      <c r="C357" t="s">
        <v>2297</v>
      </c>
      <c r="D357" s="100">
        <v>17417</v>
      </c>
    </row>
    <row r="358" spans="1:4" x14ac:dyDescent="0.25">
      <c r="A358" t="s">
        <v>4241</v>
      </c>
      <c r="B358" s="100">
        <v>8304</v>
      </c>
      <c r="C358" t="s">
        <v>1742</v>
      </c>
      <c r="D358" s="100">
        <v>17411</v>
      </c>
    </row>
    <row r="359" spans="1:4" x14ac:dyDescent="0.25">
      <c r="A359" t="s">
        <v>4242</v>
      </c>
      <c r="B359" s="100">
        <v>8983</v>
      </c>
      <c r="C359" t="s">
        <v>1380</v>
      </c>
      <c r="D359" s="100">
        <v>31015</v>
      </c>
    </row>
    <row r="360" spans="1:4" x14ac:dyDescent="0.25">
      <c r="A360" t="s">
        <v>4243</v>
      </c>
      <c r="B360" s="100" t="s">
        <v>4244</v>
      </c>
      <c r="C360" t="s">
        <v>3211</v>
      </c>
      <c r="D360" s="100">
        <v>6037</v>
      </c>
    </row>
    <row r="361" spans="1:4" x14ac:dyDescent="0.25">
      <c r="A361" t="s">
        <v>4245</v>
      </c>
      <c r="B361" s="100">
        <v>8678</v>
      </c>
      <c r="C361" t="s">
        <v>1380</v>
      </c>
      <c r="D361" s="100">
        <v>31015</v>
      </c>
    </row>
    <row r="362" spans="1:4" x14ac:dyDescent="0.25">
      <c r="A362" t="s">
        <v>4246</v>
      </c>
      <c r="B362" s="100">
        <v>8144</v>
      </c>
      <c r="C362" t="s">
        <v>3059</v>
      </c>
      <c r="D362" s="100">
        <v>27010</v>
      </c>
    </row>
    <row r="363" spans="1:4" x14ac:dyDescent="0.25">
      <c r="A363" t="s">
        <v>4247</v>
      </c>
      <c r="B363" s="100">
        <v>8502</v>
      </c>
      <c r="C363" t="s">
        <v>2926</v>
      </c>
      <c r="D363" s="100">
        <v>32081</v>
      </c>
    </row>
    <row r="364" spans="1:4" x14ac:dyDescent="0.25">
      <c r="A364" t="s">
        <v>4248</v>
      </c>
      <c r="B364" s="100" t="s">
        <v>4249</v>
      </c>
      <c r="C364" t="s">
        <v>1068</v>
      </c>
      <c r="D364" s="100">
        <v>6117</v>
      </c>
    </row>
    <row r="365" spans="1:4" x14ac:dyDescent="0.25">
      <c r="A365" t="s">
        <v>4250</v>
      </c>
      <c r="B365" s="100">
        <v>8505</v>
      </c>
      <c r="C365" t="s">
        <v>1918</v>
      </c>
      <c r="D365" s="100">
        <v>17414</v>
      </c>
    </row>
    <row r="366" spans="1:4" x14ac:dyDescent="0.25">
      <c r="A366" t="s">
        <v>4251</v>
      </c>
      <c r="B366" s="100">
        <v>8687</v>
      </c>
      <c r="C366" t="s">
        <v>2421</v>
      </c>
      <c r="D366" s="100">
        <v>32123</v>
      </c>
    </row>
    <row r="367" spans="1:4" x14ac:dyDescent="0.25">
      <c r="A367" t="s">
        <v>4252</v>
      </c>
      <c r="B367" s="100">
        <v>8202</v>
      </c>
      <c r="C367" t="s">
        <v>1128</v>
      </c>
      <c r="D367" s="100">
        <v>32356</v>
      </c>
    </row>
    <row r="368" spans="1:4" x14ac:dyDescent="0.25">
      <c r="A368" t="s">
        <v>4253</v>
      </c>
      <c r="B368" s="100" t="s">
        <v>4254</v>
      </c>
      <c r="C368" t="s">
        <v>2693</v>
      </c>
      <c r="D368" s="100">
        <v>17001</v>
      </c>
    </row>
    <row r="369" spans="1:4" x14ac:dyDescent="0.25">
      <c r="A369" t="s">
        <v>4255</v>
      </c>
      <c r="B369" s="100">
        <v>8116</v>
      </c>
      <c r="C369" t="s">
        <v>2686</v>
      </c>
      <c r="D369" s="100">
        <v>28149</v>
      </c>
    </row>
    <row r="370" spans="1:4" x14ac:dyDescent="0.25">
      <c r="A370" t="s">
        <v>4256</v>
      </c>
      <c r="B370" s="100">
        <v>8704</v>
      </c>
      <c r="C370" t="s">
        <v>2693</v>
      </c>
      <c r="D370" s="100">
        <v>17001</v>
      </c>
    </row>
    <row r="371" spans="1:4" x14ac:dyDescent="0.25">
      <c r="A371" t="s">
        <v>4257</v>
      </c>
      <c r="B371" s="100">
        <v>8188</v>
      </c>
      <c r="C371" t="s">
        <v>2926</v>
      </c>
      <c r="D371" s="100">
        <v>32081</v>
      </c>
    </row>
    <row r="372" spans="1:4" x14ac:dyDescent="0.25">
      <c r="A372" t="s">
        <v>4258</v>
      </c>
      <c r="B372" s="100">
        <v>8061</v>
      </c>
      <c r="C372" t="s">
        <v>2693</v>
      </c>
      <c r="D372" s="100">
        <v>17001</v>
      </c>
    </row>
    <row r="373" spans="1:4" x14ac:dyDescent="0.25">
      <c r="A373" t="s">
        <v>4259</v>
      </c>
      <c r="B373" s="100">
        <v>8062</v>
      </c>
      <c r="C373" t="s">
        <v>2693</v>
      </c>
      <c r="D373" s="100">
        <v>17001</v>
      </c>
    </row>
    <row r="374" spans="1:4" x14ac:dyDescent="0.25">
      <c r="A374" t="s">
        <v>4260</v>
      </c>
      <c r="B374" s="100">
        <v>8089</v>
      </c>
      <c r="C374" t="s">
        <v>2594</v>
      </c>
      <c r="D374" s="100">
        <v>17403</v>
      </c>
    </row>
    <row r="375" spans="1:4" x14ac:dyDescent="0.25">
      <c r="A375" t="s">
        <v>4261</v>
      </c>
      <c r="B375" s="100">
        <v>1452</v>
      </c>
      <c r="C375" t="s">
        <v>3272</v>
      </c>
      <c r="D375" s="100">
        <v>36140</v>
      </c>
    </row>
    <row r="376" spans="1:4" x14ac:dyDescent="0.25">
      <c r="A376" t="s">
        <v>4262</v>
      </c>
      <c r="B376" s="100">
        <v>8063</v>
      </c>
      <c r="C376" t="s">
        <v>2693</v>
      </c>
      <c r="D376" s="100">
        <v>17001</v>
      </c>
    </row>
    <row r="377" spans="1:4" x14ac:dyDescent="0.25">
      <c r="A377" t="s">
        <v>4263</v>
      </c>
      <c r="B377" s="100">
        <v>8086</v>
      </c>
      <c r="C377" t="s">
        <v>1686</v>
      </c>
      <c r="D377" s="100">
        <v>17401</v>
      </c>
    </row>
    <row r="378" spans="1:4" x14ac:dyDescent="0.25">
      <c r="A378" t="s">
        <v>4264</v>
      </c>
      <c r="B378" s="100">
        <v>8113</v>
      </c>
      <c r="C378" t="s">
        <v>2297</v>
      </c>
      <c r="D378" s="100">
        <v>17417</v>
      </c>
    </row>
    <row r="379" spans="1:4" x14ac:dyDescent="0.25">
      <c r="A379" t="s">
        <v>4265</v>
      </c>
      <c r="B379" s="100">
        <v>8064</v>
      </c>
      <c r="C379" t="s">
        <v>2693</v>
      </c>
      <c r="D379" s="100">
        <v>17001</v>
      </c>
    </row>
    <row r="380" spans="1:4" x14ac:dyDescent="0.25">
      <c r="A380" t="s">
        <v>4266</v>
      </c>
      <c r="B380" s="100">
        <v>8141</v>
      </c>
      <c r="C380" t="s">
        <v>3059</v>
      </c>
      <c r="D380" s="100">
        <v>27010</v>
      </c>
    </row>
    <row r="381" spans="1:4" x14ac:dyDescent="0.25">
      <c r="A381" t="s">
        <v>4267</v>
      </c>
      <c r="B381" s="100">
        <v>8192</v>
      </c>
      <c r="C381" t="s">
        <v>2926</v>
      </c>
      <c r="D381" s="100">
        <v>32081</v>
      </c>
    </row>
    <row r="382" spans="1:4" x14ac:dyDescent="0.25">
      <c r="A382" t="s">
        <v>4268</v>
      </c>
      <c r="B382" s="100">
        <v>8148</v>
      </c>
      <c r="C382" t="s">
        <v>1220</v>
      </c>
      <c r="D382" s="100">
        <v>27400</v>
      </c>
    </row>
    <row r="383" spans="1:4" x14ac:dyDescent="0.25">
      <c r="A383" t="s">
        <v>4269</v>
      </c>
      <c r="B383" s="100">
        <v>8087</v>
      </c>
      <c r="C383" t="s">
        <v>1686</v>
      </c>
      <c r="D383" s="100">
        <v>17401</v>
      </c>
    </row>
    <row r="384" spans="1:4" x14ac:dyDescent="0.25">
      <c r="A384" t="s">
        <v>4270</v>
      </c>
      <c r="B384" s="100" t="s">
        <v>4271</v>
      </c>
      <c r="C384" t="s">
        <v>2518</v>
      </c>
      <c r="D384" s="100">
        <v>3116</v>
      </c>
    </row>
    <row r="385" spans="1:4" x14ac:dyDescent="0.25">
      <c r="A385" t="s">
        <v>4272</v>
      </c>
      <c r="B385" s="100">
        <v>8067</v>
      </c>
      <c r="C385" t="s">
        <v>2693</v>
      </c>
      <c r="D385" s="100">
        <v>17001</v>
      </c>
    </row>
    <row r="386" spans="1:4" x14ac:dyDescent="0.25">
      <c r="A386" t="s">
        <v>4273</v>
      </c>
      <c r="B386" s="100">
        <v>8069</v>
      </c>
      <c r="C386" t="s">
        <v>2693</v>
      </c>
      <c r="D386" s="100">
        <v>17001</v>
      </c>
    </row>
    <row r="387" spans="1:4" x14ac:dyDescent="0.25">
      <c r="A387" t="s">
        <v>4274</v>
      </c>
      <c r="B387" s="100">
        <v>8643</v>
      </c>
      <c r="C387" t="s">
        <v>3408</v>
      </c>
      <c r="D387" s="100">
        <v>39007</v>
      </c>
    </row>
    <row r="388" spans="1:4" x14ac:dyDescent="0.25">
      <c r="A388" t="s">
        <v>4275</v>
      </c>
      <c r="B388" s="100">
        <v>8205</v>
      </c>
      <c r="C388" t="s">
        <v>1128</v>
      </c>
      <c r="D388" s="100">
        <v>32356</v>
      </c>
    </row>
    <row r="389" spans="1:4" x14ac:dyDescent="0.25">
      <c r="A389" t="s">
        <v>4276</v>
      </c>
      <c r="B389" s="100">
        <v>8010</v>
      </c>
      <c r="C389" t="s">
        <v>3211</v>
      </c>
      <c r="D389" s="100">
        <v>6037</v>
      </c>
    </row>
    <row r="390" spans="1:4" x14ac:dyDescent="0.25">
      <c r="A390" t="s">
        <v>4277</v>
      </c>
      <c r="B390" s="100">
        <v>8230</v>
      </c>
      <c r="C390" t="s">
        <v>3408</v>
      </c>
      <c r="D390" s="100">
        <v>39007</v>
      </c>
    </row>
    <row r="391" spans="1:4" x14ac:dyDescent="0.25">
      <c r="A391" t="s">
        <v>4278</v>
      </c>
      <c r="B391" s="100">
        <v>8282</v>
      </c>
      <c r="C391" t="s">
        <v>1742</v>
      </c>
      <c r="D391" s="100">
        <v>17411</v>
      </c>
    </row>
    <row r="392" spans="1:4" x14ac:dyDescent="0.25">
      <c r="A392" t="s">
        <v>4279</v>
      </c>
      <c r="B392" s="100">
        <v>8070</v>
      </c>
      <c r="C392" t="s">
        <v>2693</v>
      </c>
      <c r="D392" s="100">
        <v>17001</v>
      </c>
    </row>
    <row r="393" spans="1:4" x14ac:dyDescent="0.25">
      <c r="A393" t="s">
        <v>4279</v>
      </c>
      <c r="B393" s="100">
        <v>8120</v>
      </c>
      <c r="C393" t="s">
        <v>1170</v>
      </c>
      <c r="D393" s="100">
        <v>21302</v>
      </c>
    </row>
    <row r="394" spans="1:4" x14ac:dyDescent="0.25">
      <c r="A394" t="s">
        <v>4280</v>
      </c>
      <c r="B394" s="100">
        <v>8002</v>
      </c>
      <c r="C394" t="s">
        <v>1791</v>
      </c>
      <c r="D394" s="100">
        <v>3017</v>
      </c>
    </row>
    <row r="395" spans="1:4" x14ac:dyDescent="0.25">
      <c r="A395" t="s">
        <v>4281</v>
      </c>
      <c r="B395" s="100">
        <v>8094</v>
      </c>
      <c r="C395" t="s">
        <v>925</v>
      </c>
      <c r="D395" s="100">
        <v>17405</v>
      </c>
    </row>
    <row r="396" spans="1:4" x14ac:dyDescent="0.25">
      <c r="A396" t="s">
        <v>4282</v>
      </c>
      <c r="B396" s="100">
        <v>8103</v>
      </c>
      <c r="C396" t="s">
        <v>2834</v>
      </c>
      <c r="D396" s="100">
        <v>17412</v>
      </c>
    </row>
    <row r="397" spans="1:4" x14ac:dyDescent="0.25">
      <c r="A397" t="s">
        <v>4283</v>
      </c>
      <c r="B397" s="100">
        <v>1434</v>
      </c>
      <c r="C397" t="s">
        <v>925</v>
      </c>
      <c r="D397" s="100">
        <v>17405</v>
      </c>
    </row>
    <row r="398" spans="1:4" x14ac:dyDescent="0.25">
      <c r="A398" t="s">
        <v>4284</v>
      </c>
      <c r="B398" s="100">
        <v>8104</v>
      </c>
      <c r="C398" t="s">
        <v>2834</v>
      </c>
      <c r="D398" s="100">
        <v>17412</v>
      </c>
    </row>
    <row r="399" spans="1:4" x14ac:dyDescent="0.25">
      <c r="A399" t="s">
        <v>4285</v>
      </c>
      <c r="B399" s="100">
        <v>8201</v>
      </c>
      <c r="C399" t="s">
        <v>1128</v>
      </c>
      <c r="D399" s="100">
        <v>32356</v>
      </c>
    </row>
    <row r="400" spans="1:4" x14ac:dyDescent="0.25">
      <c r="A400" t="s">
        <v>4286</v>
      </c>
      <c r="B400" s="100">
        <v>8159</v>
      </c>
      <c r="C400" t="s">
        <v>1471</v>
      </c>
      <c r="D400" s="100">
        <v>31002</v>
      </c>
    </row>
    <row r="401" spans="1:4" x14ac:dyDescent="0.25">
      <c r="A401" t="s">
        <v>4287</v>
      </c>
      <c r="B401" s="100">
        <v>1414</v>
      </c>
      <c r="C401" t="s">
        <v>985</v>
      </c>
      <c r="D401" s="100">
        <v>27403</v>
      </c>
    </row>
    <row r="402" spans="1:4" x14ac:dyDescent="0.25">
      <c r="A402" t="s">
        <v>4288</v>
      </c>
      <c r="B402" s="100">
        <v>8293</v>
      </c>
      <c r="C402" t="s">
        <v>2926</v>
      </c>
      <c r="D402" s="100">
        <v>32081</v>
      </c>
    </row>
    <row r="403" spans="1:4" x14ac:dyDescent="0.25">
      <c r="A403" t="s">
        <v>4289</v>
      </c>
      <c r="B403" s="100">
        <v>8073</v>
      </c>
      <c r="C403" t="s">
        <v>2693</v>
      </c>
      <c r="D403" s="100">
        <v>17001</v>
      </c>
    </row>
    <row r="404" spans="1:4" x14ac:dyDescent="0.25">
      <c r="A404" t="s">
        <v>4290</v>
      </c>
      <c r="B404" s="100">
        <v>1473</v>
      </c>
      <c r="C404" t="s">
        <v>2857</v>
      </c>
      <c r="D404" s="100">
        <v>31201</v>
      </c>
    </row>
    <row r="405" spans="1:4" x14ac:dyDescent="0.25">
      <c r="A405" t="s">
        <v>4291</v>
      </c>
      <c r="B405" s="100">
        <v>8210</v>
      </c>
      <c r="C405" t="s">
        <v>2378</v>
      </c>
      <c r="D405" s="100">
        <v>34111</v>
      </c>
    </row>
    <row r="406" spans="1:4" x14ac:dyDescent="0.25">
      <c r="A406" t="s">
        <v>4292</v>
      </c>
      <c r="B406" s="100">
        <v>8312</v>
      </c>
      <c r="C406" t="s">
        <v>2421</v>
      </c>
      <c r="D406" s="100">
        <v>32123</v>
      </c>
    </row>
    <row r="407" spans="1:4" x14ac:dyDescent="0.25">
      <c r="A407" t="s">
        <v>4293</v>
      </c>
      <c r="B407" s="100">
        <v>8081</v>
      </c>
      <c r="C407" t="s">
        <v>2092</v>
      </c>
      <c r="D407" s="100">
        <v>17400</v>
      </c>
    </row>
    <row r="408" spans="1:4" x14ac:dyDescent="0.25">
      <c r="A408" t="s">
        <v>4294</v>
      </c>
      <c r="B408" s="100">
        <v>8161</v>
      </c>
      <c r="C408" t="s">
        <v>2481</v>
      </c>
      <c r="D408" s="100">
        <v>27401</v>
      </c>
    </row>
    <row r="409" spans="1:4" x14ac:dyDescent="0.25">
      <c r="A409" t="s">
        <v>4295</v>
      </c>
      <c r="B409" s="100">
        <v>8018</v>
      </c>
      <c r="C409" t="s">
        <v>2450</v>
      </c>
      <c r="D409" s="100">
        <v>11001</v>
      </c>
    </row>
    <row r="410" spans="1:4" x14ac:dyDescent="0.25">
      <c r="A410" t="s">
        <v>4296</v>
      </c>
      <c r="B410" s="100">
        <v>8075</v>
      </c>
      <c r="C410" t="s">
        <v>2693</v>
      </c>
      <c r="D410" s="100">
        <v>17001</v>
      </c>
    </row>
    <row r="411" spans="1:4" x14ac:dyDescent="0.25">
      <c r="A411" t="s">
        <v>4297</v>
      </c>
      <c r="B411" s="100">
        <v>8915</v>
      </c>
      <c r="C411" t="s">
        <v>3317</v>
      </c>
      <c r="D411" s="100">
        <v>4246</v>
      </c>
    </row>
    <row r="412" spans="1:4" x14ac:dyDescent="0.25">
      <c r="A412" t="s">
        <v>4298</v>
      </c>
      <c r="B412" s="100">
        <v>8646</v>
      </c>
      <c r="C412" t="s">
        <v>1686</v>
      </c>
      <c r="D412" s="100">
        <v>17401</v>
      </c>
    </row>
    <row r="413" spans="1:4" x14ac:dyDescent="0.25">
      <c r="A413" t="s">
        <v>4299</v>
      </c>
      <c r="B413" s="100">
        <v>8168</v>
      </c>
      <c r="C413" t="s">
        <v>1380</v>
      </c>
      <c r="D413" s="100">
        <v>31015</v>
      </c>
    </row>
    <row r="414" spans="1:4" x14ac:dyDescent="0.25">
      <c r="A414" t="s">
        <v>4300</v>
      </c>
      <c r="B414" s="100">
        <v>8021</v>
      </c>
      <c r="C414" t="s">
        <v>1459</v>
      </c>
      <c r="D414" s="100">
        <v>13165</v>
      </c>
    </row>
    <row r="415" spans="1:4" x14ac:dyDescent="0.25">
      <c r="A415" t="s">
        <v>4301</v>
      </c>
      <c r="B415" s="100">
        <v>8015</v>
      </c>
      <c r="C415" t="s">
        <v>1989</v>
      </c>
      <c r="D415" s="100">
        <v>8122</v>
      </c>
    </row>
    <row r="416" spans="1:4" x14ac:dyDescent="0.25">
      <c r="A416" t="s">
        <v>4302</v>
      </c>
      <c r="B416" s="100">
        <v>8076</v>
      </c>
      <c r="C416" t="s">
        <v>2693</v>
      </c>
      <c r="D416" s="100">
        <v>17001</v>
      </c>
    </row>
    <row r="417" spans="1:4" x14ac:dyDescent="0.25">
      <c r="A417" t="s">
        <v>4303</v>
      </c>
      <c r="B417" s="100">
        <v>8169</v>
      </c>
      <c r="C417" t="s">
        <v>1380</v>
      </c>
      <c r="D417" s="100">
        <v>31015</v>
      </c>
    </row>
    <row r="418" spans="1:4" x14ac:dyDescent="0.25">
      <c r="A418" t="s">
        <v>4304</v>
      </c>
      <c r="B418" s="100">
        <v>8095</v>
      </c>
      <c r="C418" t="s">
        <v>925</v>
      </c>
      <c r="D418" s="100">
        <v>17405</v>
      </c>
    </row>
    <row r="419" spans="1:4" x14ac:dyDescent="0.25">
      <c r="A419" t="s">
        <v>4305</v>
      </c>
      <c r="B419" s="100">
        <v>8077</v>
      </c>
      <c r="C419" t="s">
        <v>1539</v>
      </c>
      <c r="D419" s="100">
        <v>17210</v>
      </c>
    </row>
    <row r="420" spans="1:4" x14ac:dyDescent="0.25">
      <c r="A420" t="s">
        <v>4306</v>
      </c>
      <c r="B420" s="100">
        <v>8595</v>
      </c>
      <c r="C420" t="s">
        <v>2366</v>
      </c>
      <c r="D420" s="100">
        <v>22105</v>
      </c>
    </row>
    <row r="421" spans="1:4" x14ac:dyDescent="0.25">
      <c r="A421" t="s">
        <v>4307</v>
      </c>
      <c r="B421" s="100" t="s">
        <v>4308</v>
      </c>
      <c r="C421" t="s">
        <v>1380</v>
      </c>
      <c r="D421" s="100">
        <v>31015</v>
      </c>
    </row>
    <row r="422" spans="1:4" x14ac:dyDescent="0.25">
      <c r="A422" t="s">
        <v>4309</v>
      </c>
      <c r="B422" s="100">
        <v>1475</v>
      </c>
      <c r="C422" t="s">
        <v>2686</v>
      </c>
      <c r="D422" s="100">
        <v>28149</v>
      </c>
    </row>
    <row r="423" spans="1:4" x14ac:dyDescent="0.25">
      <c r="A423" t="s">
        <v>4310</v>
      </c>
      <c r="B423" s="100">
        <v>1494</v>
      </c>
      <c r="C423" t="s">
        <v>2071</v>
      </c>
      <c r="D423" s="100">
        <v>32354</v>
      </c>
    </row>
    <row r="424" spans="1:4" x14ac:dyDescent="0.25">
      <c r="A424" t="s">
        <v>4311</v>
      </c>
      <c r="B424" s="100">
        <v>1479</v>
      </c>
      <c r="C424" t="s">
        <v>2875</v>
      </c>
      <c r="D424" s="100">
        <v>17410</v>
      </c>
    </row>
    <row r="425" spans="1:4" x14ac:dyDescent="0.25">
      <c r="A425" t="s">
        <v>4312</v>
      </c>
      <c r="B425" s="100" t="s">
        <v>4313</v>
      </c>
      <c r="C425" t="s">
        <v>1199</v>
      </c>
      <c r="D425" s="100">
        <v>16049</v>
      </c>
    </row>
    <row r="426" spans="1:4" x14ac:dyDescent="0.25">
      <c r="A426" t="s">
        <v>4314</v>
      </c>
      <c r="B426" s="100">
        <v>8235</v>
      </c>
      <c r="C426" t="s">
        <v>3048</v>
      </c>
      <c r="D426" s="100">
        <v>39201</v>
      </c>
    </row>
    <row r="427" spans="1:4" x14ac:dyDescent="0.25">
      <c r="A427" t="s">
        <v>4315</v>
      </c>
      <c r="B427" s="100">
        <v>8025</v>
      </c>
      <c r="C427" t="s">
        <v>2378</v>
      </c>
      <c r="D427" s="100">
        <v>34111</v>
      </c>
    </row>
    <row r="428" spans="1:4" x14ac:dyDescent="0.25">
      <c r="A428" t="s">
        <v>4316</v>
      </c>
      <c r="B428" s="100">
        <v>8177</v>
      </c>
      <c r="C428" t="s">
        <v>2507</v>
      </c>
      <c r="D428" s="100">
        <v>16050</v>
      </c>
    </row>
    <row r="429" spans="1:4" x14ac:dyDescent="0.25">
      <c r="A429" t="s">
        <v>4317</v>
      </c>
      <c r="B429" s="100">
        <v>1495</v>
      </c>
      <c r="C429" t="s">
        <v>3059</v>
      </c>
      <c r="D429" s="100">
        <v>27010</v>
      </c>
    </row>
    <row r="430" spans="1:4" x14ac:dyDescent="0.25">
      <c r="A430" t="s">
        <v>4318</v>
      </c>
      <c r="B430" s="100" t="s">
        <v>4319</v>
      </c>
      <c r="C430" t="s">
        <v>2693</v>
      </c>
      <c r="D430" s="100">
        <v>17001</v>
      </c>
    </row>
    <row r="431" spans="1:4" x14ac:dyDescent="0.25">
      <c r="A431" t="s">
        <v>4320</v>
      </c>
      <c r="B431" s="100" t="s">
        <v>4321</v>
      </c>
      <c r="C431" t="s">
        <v>925</v>
      </c>
      <c r="D431" s="100">
        <v>17405</v>
      </c>
    </row>
    <row r="432" spans="1:4" x14ac:dyDescent="0.25">
      <c r="A432" t="s">
        <v>4322</v>
      </c>
      <c r="B432" s="100">
        <v>8887</v>
      </c>
      <c r="C432" t="s">
        <v>1918</v>
      </c>
      <c r="D432" s="100">
        <v>17414</v>
      </c>
    </row>
    <row r="433" spans="1:4" x14ac:dyDescent="0.25">
      <c r="A433" t="s">
        <v>4323</v>
      </c>
      <c r="B433" s="100" t="s">
        <v>3854</v>
      </c>
      <c r="C433" t="s">
        <v>1686</v>
      </c>
      <c r="D433" s="100">
        <v>17401</v>
      </c>
    </row>
    <row r="434" spans="1:4" x14ac:dyDescent="0.25">
      <c r="A434" t="s">
        <v>4324</v>
      </c>
      <c r="B434" s="100">
        <v>8037</v>
      </c>
      <c r="C434" t="s">
        <v>2693</v>
      </c>
      <c r="D434" s="100">
        <v>17001</v>
      </c>
    </row>
    <row r="435" spans="1:4" x14ac:dyDescent="0.25">
      <c r="A435" t="s">
        <v>4325</v>
      </c>
      <c r="B435" s="100">
        <v>8372</v>
      </c>
      <c r="C435" t="s">
        <v>2297</v>
      </c>
      <c r="D435" s="100">
        <v>17417</v>
      </c>
    </row>
    <row r="436" spans="1:4" x14ac:dyDescent="0.25">
      <c r="A436" t="s">
        <v>4326</v>
      </c>
      <c r="B436" s="100">
        <v>8598</v>
      </c>
      <c r="C436" t="s">
        <v>3059</v>
      </c>
      <c r="D436" s="100">
        <v>27010</v>
      </c>
    </row>
    <row r="437" spans="1:4" x14ac:dyDescent="0.25">
      <c r="A437" t="s">
        <v>4327</v>
      </c>
      <c r="B437" s="100">
        <v>8034</v>
      </c>
      <c r="C437" t="s">
        <v>2834</v>
      </c>
      <c r="D437" s="100">
        <v>17412</v>
      </c>
    </row>
    <row r="438" spans="1:4" x14ac:dyDescent="0.25">
      <c r="A438" t="s">
        <v>4328</v>
      </c>
      <c r="B438" s="100" t="s">
        <v>4329</v>
      </c>
      <c r="C438" t="s">
        <v>957</v>
      </c>
      <c r="D438" s="100">
        <v>37501</v>
      </c>
    </row>
    <row r="439" spans="1:4" x14ac:dyDescent="0.25">
      <c r="A439" t="s">
        <v>4330</v>
      </c>
      <c r="B439" s="100">
        <v>8071</v>
      </c>
      <c r="C439" t="s">
        <v>903</v>
      </c>
      <c r="D439" s="100">
        <v>6119</v>
      </c>
    </row>
    <row r="440" spans="1:4" x14ac:dyDescent="0.25">
      <c r="A440" t="s">
        <v>4331</v>
      </c>
      <c r="B440" s="100">
        <v>8487</v>
      </c>
      <c r="C440" t="s">
        <v>889</v>
      </c>
      <c r="D440" s="100">
        <v>18303</v>
      </c>
    </row>
    <row r="441" spans="1:4" x14ac:dyDescent="0.25">
      <c r="A441" t="s">
        <v>4332</v>
      </c>
      <c r="B441" s="100">
        <v>8563</v>
      </c>
      <c r="C441" t="s">
        <v>925</v>
      </c>
      <c r="D441" s="100">
        <v>17405</v>
      </c>
    </row>
    <row r="442" spans="1:4" x14ac:dyDescent="0.25">
      <c r="A442" t="s">
        <v>4333</v>
      </c>
      <c r="B442" s="100">
        <v>8050</v>
      </c>
      <c r="C442" t="s">
        <v>1918</v>
      </c>
      <c r="D442" s="100">
        <v>17414</v>
      </c>
    </row>
    <row r="443" spans="1:4" x14ac:dyDescent="0.25">
      <c r="A443" t="s">
        <v>4334</v>
      </c>
      <c r="B443" s="100" t="s">
        <v>4335</v>
      </c>
      <c r="C443" t="s">
        <v>2693</v>
      </c>
      <c r="D443" s="100">
        <v>17001</v>
      </c>
    </row>
    <row r="444" spans="1:4" x14ac:dyDescent="0.25">
      <c r="A444" t="s">
        <v>4336</v>
      </c>
      <c r="B444" s="100">
        <v>8244</v>
      </c>
      <c r="C444" t="s">
        <v>925</v>
      </c>
      <c r="D444" s="100">
        <v>17405</v>
      </c>
    </row>
    <row r="445" spans="1:4" x14ac:dyDescent="0.25">
      <c r="A445" t="s">
        <v>4337</v>
      </c>
      <c r="B445" s="100" t="s">
        <v>4338</v>
      </c>
      <c r="C445" t="s">
        <v>1918</v>
      </c>
      <c r="D445" s="100">
        <v>17414</v>
      </c>
    </row>
    <row r="446" spans="1:4" x14ac:dyDescent="0.25">
      <c r="A446" t="s">
        <v>4339</v>
      </c>
      <c r="B446" s="100">
        <v>8404</v>
      </c>
      <c r="C446" t="s">
        <v>2693</v>
      </c>
      <c r="D446" s="100">
        <v>17001</v>
      </c>
    </row>
    <row r="447" spans="1:4" x14ac:dyDescent="0.25">
      <c r="A447" t="s">
        <v>4340</v>
      </c>
      <c r="B447" s="100" t="s">
        <v>4341</v>
      </c>
      <c r="C447" t="s">
        <v>2525</v>
      </c>
      <c r="D447" s="100">
        <v>38267</v>
      </c>
    </row>
    <row r="448" spans="1:4" x14ac:dyDescent="0.25">
      <c r="A448" t="s">
        <v>4342</v>
      </c>
      <c r="B448" s="100">
        <v>8573</v>
      </c>
      <c r="C448" t="s">
        <v>2693</v>
      </c>
      <c r="D448" s="100">
        <v>17001</v>
      </c>
    </row>
    <row r="449" spans="1:4" x14ac:dyDescent="0.25">
      <c r="A449" t="s">
        <v>4343</v>
      </c>
      <c r="B449" s="100">
        <v>8109</v>
      </c>
      <c r="C449" t="s">
        <v>1918</v>
      </c>
      <c r="D449" s="100">
        <v>17414</v>
      </c>
    </row>
    <row r="450" spans="1:4" x14ac:dyDescent="0.25">
      <c r="A450" t="s">
        <v>4344</v>
      </c>
      <c r="B450" s="100">
        <v>8251</v>
      </c>
      <c r="C450" t="s">
        <v>2693</v>
      </c>
      <c r="D450" s="100">
        <v>17001</v>
      </c>
    </row>
    <row r="451" spans="1:4" x14ac:dyDescent="0.25">
      <c r="A451" t="s">
        <v>4345</v>
      </c>
      <c r="B451" s="100" t="s">
        <v>4346</v>
      </c>
      <c r="C451" t="s">
        <v>2693</v>
      </c>
      <c r="D451" s="100">
        <v>17001</v>
      </c>
    </row>
    <row r="452" spans="1:4" x14ac:dyDescent="0.25">
      <c r="A452" t="s">
        <v>4347</v>
      </c>
      <c r="B452" s="100">
        <v>1436</v>
      </c>
      <c r="C452" t="s">
        <v>2092</v>
      </c>
      <c r="D452" s="100">
        <v>17400</v>
      </c>
    </row>
    <row r="453" spans="1:4" x14ac:dyDescent="0.25">
      <c r="A453" t="s">
        <v>4348</v>
      </c>
      <c r="B453" s="100" t="s">
        <v>4349</v>
      </c>
      <c r="C453" t="s">
        <v>3317</v>
      </c>
      <c r="D453" s="100">
        <v>4246</v>
      </c>
    </row>
    <row r="454" spans="1:4" x14ac:dyDescent="0.25">
      <c r="A454" t="s">
        <v>4350</v>
      </c>
      <c r="B454" s="100">
        <v>8908</v>
      </c>
      <c r="C454" t="s">
        <v>2693</v>
      </c>
      <c r="D454" s="100">
        <v>17001</v>
      </c>
    </row>
    <row r="455" spans="1:4" x14ac:dyDescent="0.25">
      <c r="A455" t="s">
        <v>4351</v>
      </c>
      <c r="B455" s="100">
        <v>8056</v>
      </c>
      <c r="C455" t="s">
        <v>2693</v>
      </c>
      <c r="D455" s="100">
        <v>17001</v>
      </c>
    </row>
    <row r="456" spans="1:4" x14ac:dyDescent="0.25">
      <c r="A456" t="s">
        <v>4352</v>
      </c>
      <c r="B456" s="100">
        <v>8016</v>
      </c>
      <c r="C456" t="s">
        <v>1989</v>
      </c>
      <c r="D456" s="100">
        <v>8122</v>
      </c>
    </row>
    <row r="457" spans="1:4" x14ac:dyDescent="0.25">
      <c r="A457" t="s">
        <v>4353</v>
      </c>
      <c r="B457" s="100">
        <v>8257</v>
      </c>
      <c r="C457" t="s">
        <v>1989</v>
      </c>
      <c r="D457" s="100">
        <v>8122</v>
      </c>
    </row>
    <row r="458" spans="1:4" x14ac:dyDescent="0.25">
      <c r="A458" t="s">
        <v>4354</v>
      </c>
      <c r="B458" s="100">
        <v>8997</v>
      </c>
      <c r="C458" t="s">
        <v>1686</v>
      </c>
      <c r="D458" s="100">
        <v>17401</v>
      </c>
    </row>
    <row r="459" spans="1:4" x14ac:dyDescent="0.25">
      <c r="A459" t="s">
        <v>4355</v>
      </c>
      <c r="B459" s="100">
        <v>1457</v>
      </c>
      <c r="C459" t="s">
        <v>2693</v>
      </c>
      <c r="D459" s="100">
        <v>17001</v>
      </c>
    </row>
    <row r="460" spans="1:4" x14ac:dyDescent="0.25">
      <c r="A460" t="s">
        <v>4356</v>
      </c>
      <c r="B460" s="100">
        <v>1437</v>
      </c>
      <c r="C460" t="s">
        <v>1918</v>
      </c>
      <c r="D460" s="100">
        <v>17414</v>
      </c>
    </row>
    <row r="461" spans="1:4" x14ac:dyDescent="0.25">
      <c r="A461" t="s">
        <v>4357</v>
      </c>
      <c r="B461" s="100" t="s">
        <v>4358</v>
      </c>
      <c r="C461" t="s">
        <v>2693</v>
      </c>
      <c r="D461" s="100">
        <v>17001</v>
      </c>
    </row>
    <row r="462" spans="1:4" x14ac:dyDescent="0.25">
      <c r="A462" t="s">
        <v>4359</v>
      </c>
      <c r="B462" s="100">
        <v>1459</v>
      </c>
      <c r="C462" t="s">
        <v>2693</v>
      </c>
      <c r="D462" s="100">
        <v>17001</v>
      </c>
    </row>
    <row r="463" spans="1:4" x14ac:dyDescent="0.25">
      <c r="A463" t="s">
        <v>4360</v>
      </c>
      <c r="B463" s="100" t="s">
        <v>4361</v>
      </c>
      <c r="C463" t="s">
        <v>1068</v>
      </c>
      <c r="D463" s="100">
        <v>6117</v>
      </c>
    </row>
    <row r="464" spans="1:4" x14ac:dyDescent="0.25">
      <c r="A464" t="s">
        <v>4362</v>
      </c>
      <c r="B464" s="100">
        <v>8309</v>
      </c>
      <c r="C464" t="s">
        <v>2450</v>
      </c>
      <c r="D464" s="100">
        <v>11001</v>
      </c>
    </row>
    <row r="465" spans="1:4" x14ac:dyDescent="0.25">
      <c r="A465" t="s">
        <v>4363</v>
      </c>
      <c r="B465" s="100">
        <v>8019</v>
      </c>
      <c r="C465" t="s">
        <v>2450</v>
      </c>
      <c r="D465" s="100">
        <v>11001</v>
      </c>
    </row>
    <row r="466" spans="1:4" x14ac:dyDescent="0.25">
      <c r="A466" t="s">
        <v>4364</v>
      </c>
      <c r="B466" s="100">
        <v>8190</v>
      </c>
      <c r="C466" t="s">
        <v>2926</v>
      </c>
      <c r="D466" s="100">
        <v>32081</v>
      </c>
    </row>
    <row r="467" spans="1:4" x14ac:dyDescent="0.25">
      <c r="A467" t="s">
        <v>4365</v>
      </c>
      <c r="B467" s="100" t="s">
        <v>4366</v>
      </c>
      <c r="C467" t="s">
        <v>3048</v>
      </c>
      <c r="D467" s="100">
        <v>39201</v>
      </c>
    </row>
    <row r="468" spans="1:4" x14ac:dyDescent="0.25">
      <c r="A468" t="s">
        <v>4367</v>
      </c>
      <c r="B468" s="100">
        <v>8010</v>
      </c>
      <c r="C468" t="s">
        <v>2297</v>
      </c>
      <c r="D468" s="100">
        <v>17417</v>
      </c>
    </row>
    <row r="469" spans="1:4" x14ac:dyDescent="0.25">
      <c r="A469" t="s">
        <v>4368</v>
      </c>
      <c r="B469" s="100">
        <v>8838</v>
      </c>
      <c r="C469" t="s">
        <v>2693</v>
      </c>
      <c r="D469" s="100">
        <v>17001</v>
      </c>
    </row>
    <row r="470" spans="1:4" x14ac:dyDescent="0.25">
      <c r="A470" t="s">
        <v>4369</v>
      </c>
      <c r="B470" s="100">
        <v>8428</v>
      </c>
      <c r="C470" t="s">
        <v>2691</v>
      </c>
      <c r="D470" s="100">
        <v>14104</v>
      </c>
    </row>
    <row r="471" spans="1:4" x14ac:dyDescent="0.25">
      <c r="A471" t="s">
        <v>4370</v>
      </c>
      <c r="B471" s="100">
        <v>8399</v>
      </c>
      <c r="C471" t="s">
        <v>2693</v>
      </c>
      <c r="D471" s="100">
        <v>17001</v>
      </c>
    </row>
    <row r="472" spans="1:4" x14ac:dyDescent="0.25">
      <c r="A472" t="s">
        <v>4371</v>
      </c>
      <c r="B472" s="100">
        <v>8204</v>
      </c>
      <c r="C472" t="s">
        <v>1982</v>
      </c>
      <c r="D472" s="100">
        <v>32362</v>
      </c>
    </row>
    <row r="473" spans="1:4" x14ac:dyDescent="0.25">
      <c r="A473" t="s">
        <v>4372</v>
      </c>
      <c r="B473" s="100">
        <v>1491</v>
      </c>
      <c r="C473" t="s">
        <v>1982</v>
      </c>
      <c r="D473" s="100">
        <v>32362</v>
      </c>
    </row>
    <row r="474" spans="1:4" x14ac:dyDescent="0.25">
      <c r="A474" t="s">
        <v>4373</v>
      </c>
      <c r="B474" s="100">
        <v>8541</v>
      </c>
      <c r="C474" t="s">
        <v>1091</v>
      </c>
      <c r="D474" s="100">
        <v>4228</v>
      </c>
    </row>
    <row r="475" spans="1:4" x14ac:dyDescent="0.25">
      <c r="A475" t="s">
        <v>4374</v>
      </c>
      <c r="B475" s="100">
        <v>8443</v>
      </c>
      <c r="C475" t="s">
        <v>864</v>
      </c>
      <c r="D475" s="100">
        <v>17408</v>
      </c>
    </row>
    <row r="476" spans="1:4" x14ac:dyDescent="0.25">
      <c r="A476" t="s">
        <v>4375</v>
      </c>
      <c r="B476" s="100" t="s">
        <v>4376</v>
      </c>
      <c r="C476" t="s">
        <v>2527</v>
      </c>
      <c r="D476" s="100">
        <v>27003</v>
      </c>
    </row>
    <row r="477" spans="1:4" x14ac:dyDescent="0.25">
      <c r="A477" t="s">
        <v>4377</v>
      </c>
      <c r="B477" s="100">
        <v>8146</v>
      </c>
      <c r="C477" t="s">
        <v>3059</v>
      </c>
      <c r="D477" s="100">
        <v>27010</v>
      </c>
    </row>
    <row r="478" spans="1:4" x14ac:dyDescent="0.25">
      <c r="A478" t="s">
        <v>4378</v>
      </c>
      <c r="B478" s="100">
        <v>8214</v>
      </c>
      <c r="C478" t="s">
        <v>1259</v>
      </c>
      <c r="D478" s="100">
        <v>36250</v>
      </c>
    </row>
    <row r="479" spans="1:4" x14ac:dyDescent="0.25">
      <c r="A479" t="s">
        <v>4379</v>
      </c>
      <c r="B479" s="100">
        <v>8335</v>
      </c>
      <c r="C479" t="s">
        <v>1985</v>
      </c>
      <c r="D479" s="100">
        <v>1158</v>
      </c>
    </row>
    <row r="480" spans="1:4" x14ac:dyDescent="0.25">
      <c r="A480" t="s">
        <v>4380</v>
      </c>
      <c r="B480" s="100" t="s">
        <v>4381</v>
      </c>
      <c r="C480" t="s">
        <v>1471</v>
      </c>
      <c r="D480" s="100">
        <v>31002</v>
      </c>
    </row>
    <row r="481" spans="1:4" x14ac:dyDescent="0.25">
      <c r="A481" t="s">
        <v>4382</v>
      </c>
      <c r="B481" s="100">
        <v>1486</v>
      </c>
      <c r="C481" t="s">
        <v>3408</v>
      </c>
      <c r="D481" s="100">
        <v>39007</v>
      </c>
    </row>
    <row r="482" spans="1:4" x14ac:dyDescent="0.25">
      <c r="A482" t="s">
        <v>4383</v>
      </c>
      <c r="B482" s="100">
        <v>8828</v>
      </c>
      <c r="C482" t="s">
        <v>1686</v>
      </c>
      <c r="D482" s="100">
        <v>17401</v>
      </c>
    </row>
    <row r="483" spans="1:4" x14ac:dyDescent="0.25">
      <c r="A483" t="s">
        <v>4384</v>
      </c>
      <c r="B483" s="100">
        <v>8301</v>
      </c>
      <c r="C483" t="s">
        <v>2246</v>
      </c>
      <c r="D483" s="100">
        <v>18400</v>
      </c>
    </row>
    <row r="484" spans="1:4" x14ac:dyDescent="0.25">
      <c r="A484" t="s">
        <v>4385</v>
      </c>
      <c r="B484" s="100">
        <v>8916</v>
      </c>
      <c r="C484" t="s">
        <v>2693</v>
      </c>
      <c r="D484" s="100">
        <v>17001</v>
      </c>
    </row>
    <row r="485" spans="1:4" x14ac:dyDescent="0.25">
      <c r="A485" t="s">
        <v>4386</v>
      </c>
      <c r="B485" s="100">
        <v>8869</v>
      </c>
      <c r="C485" t="s">
        <v>957</v>
      </c>
      <c r="D485" s="100">
        <v>37501</v>
      </c>
    </row>
    <row r="486" spans="1:4" x14ac:dyDescent="0.25">
      <c r="A486" t="s">
        <v>4387</v>
      </c>
      <c r="B486" s="100">
        <v>8974</v>
      </c>
      <c r="C486" t="s">
        <v>2917</v>
      </c>
      <c r="D486" s="100">
        <v>15206</v>
      </c>
    </row>
    <row r="487" spans="1:4" x14ac:dyDescent="0.25">
      <c r="A487" t="s">
        <v>4388</v>
      </c>
      <c r="B487" s="100">
        <v>8876</v>
      </c>
      <c r="C487" t="s">
        <v>2297</v>
      </c>
      <c r="D487" s="100">
        <v>17417</v>
      </c>
    </row>
    <row r="488" spans="1:4" x14ac:dyDescent="0.25">
      <c r="A488" t="s">
        <v>4389</v>
      </c>
      <c r="B488" s="100" t="s">
        <v>4390</v>
      </c>
      <c r="C488" t="s">
        <v>1918</v>
      </c>
      <c r="D488" s="100">
        <v>17414</v>
      </c>
    </row>
    <row r="489" spans="1:4" x14ac:dyDescent="0.25">
      <c r="A489" t="s">
        <v>4391</v>
      </c>
      <c r="B489" s="100" t="s">
        <v>4392</v>
      </c>
      <c r="C489" t="s">
        <v>2926</v>
      </c>
      <c r="D489" s="100">
        <v>32081</v>
      </c>
    </row>
    <row r="490" spans="1:4" x14ac:dyDescent="0.25">
      <c r="A490" t="s">
        <v>4393</v>
      </c>
      <c r="B490" s="100">
        <v>8856</v>
      </c>
      <c r="C490" t="s">
        <v>2297</v>
      </c>
      <c r="D490" s="100">
        <v>17417</v>
      </c>
    </row>
    <row r="491" spans="1:4" x14ac:dyDescent="0.25">
      <c r="A491" t="s">
        <v>4394</v>
      </c>
      <c r="B491" s="100">
        <v>8232</v>
      </c>
      <c r="C491" t="s">
        <v>3408</v>
      </c>
      <c r="D491" s="100">
        <v>39007</v>
      </c>
    </row>
    <row r="492" spans="1:4" x14ac:dyDescent="0.25">
      <c r="A492" t="s">
        <v>4395</v>
      </c>
      <c r="B492" s="100">
        <v>8044</v>
      </c>
      <c r="C492" t="s">
        <v>2092</v>
      </c>
      <c r="D492" s="100">
        <v>17400</v>
      </c>
    </row>
    <row r="493" spans="1:4" x14ac:dyDescent="0.25">
      <c r="A493" t="s">
        <v>4396</v>
      </c>
      <c r="B493" s="100">
        <v>8173</v>
      </c>
      <c r="C493" t="s">
        <v>1903</v>
      </c>
      <c r="D493" s="100">
        <v>31004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2" zoomScale="90" zoomScaleNormal="90" workbookViewId="0">
      <selection activeCell="E20" sqref="E20"/>
    </sheetView>
  </sheetViews>
  <sheetFormatPr defaultRowHeight="15" x14ac:dyDescent="0.25"/>
  <cols>
    <col min="1" max="1" width="12.140625" customWidth="1"/>
    <col min="2" max="2" width="2.5703125" customWidth="1"/>
    <col min="3" max="3" width="41.28515625" customWidth="1"/>
  </cols>
  <sheetData>
    <row r="1" spans="1:3" ht="33.75" customHeight="1" x14ac:dyDescent="0.25">
      <c r="A1" s="2" t="s">
        <v>813</v>
      </c>
      <c r="B1" s="2"/>
      <c r="C1" s="2" t="s">
        <v>3448</v>
      </c>
    </row>
    <row r="2" spans="1:3" x14ac:dyDescent="0.25">
      <c r="A2" s="92">
        <v>3070</v>
      </c>
      <c r="B2" s="11"/>
      <c r="C2" s="10" t="s">
        <v>3449</v>
      </c>
    </row>
    <row r="3" spans="1:3" x14ac:dyDescent="0.25">
      <c r="A3">
        <v>4152</v>
      </c>
      <c r="B3" s="11"/>
      <c r="C3" s="10" t="s">
        <v>900</v>
      </c>
    </row>
    <row r="4" spans="1:3" x14ac:dyDescent="0.25">
      <c r="A4" s="6" t="s">
        <v>3790</v>
      </c>
      <c r="B4" s="11"/>
      <c r="C4" s="10" t="s">
        <v>3791</v>
      </c>
    </row>
    <row r="5" spans="1:3" x14ac:dyDescent="0.25">
      <c r="A5" s="91">
        <v>4044</v>
      </c>
      <c r="B5" s="11"/>
      <c r="C5" s="10" t="s">
        <v>3450</v>
      </c>
    </row>
    <row r="6" spans="1:3" x14ac:dyDescent="0.25">
      <c r="A6" s="91">
        <v>4045</v>
      </c>
      <c r="B6" s="11"/>
      <c r="C6" s="10" t="s">
        <v>1159</v>
      </c>
    </row>
    <row r="7" spans="1:3" x14ac:dyDescent="0.25">
      <c r="A7" s="91">
        <v>4042</v>
      </c>
      <c r="B7" s="11"/>
      <c r="C7" s="10" t="s">
        <v>3451</v>
      </c>
    </row>
    <row r="8" spans="1:3" x14ac:dyDescent="0.25">
      <c r="A8" s="91">
        <v>4301</v>
      </c>
      <c r="B8" s="11"/>
      <c r="C8" s="10" t="s">
        <v>3452</v>
      </c>
    </row>
    <row r="9" spans="1:3" x14ac:dyDescent="0.25">
      <c r="A9" s="6" t="s">
        <v>3776</v>
      </c>
      <c r="B9" s="11"/>
      <c r="C9" s="10" t="s">
        <v>1419</v>
      </c>
    </row>
    <row r="10" spans="1:3" x14ac:dyDescent="0.25">
      <c r="A10" s="95" t="s">
        <v>3538</v>
      </c>
      <c r="B10" s="12"/>
      <c r="C10" s="10" t="s">
        <v>1424</v>
      </c>
    </row>
    <row r="11" spans="1:3" x14ac:dyDescent="0.25">
      <c r="A11" s="91">
        <v>4330</v>
      </c>
      <c r="B11" s="11"/>
      <c r="C11" s="10" t="s">
        <v>3453</v>
      </c>
    </row>
    <row r="12" spans="1:3" x14ac:dyDescent="0.25">
      <c r="A12" s="91">
        <v>4332</v>
      </c>
      <c r="B12" s="11"/>
      <c r="C12" s="10" t="s">
        <v>3454</v>
      </c>
    </row>
    <row r="13" spans="1:3" x14ac:dyDescent="0.25">
      <c r="A13" s="91">
        <v>4344</v>
      </c>
      <c r="B13" s="11"/>
      <c r="C13" s="10" t="s">
        <v>3455</v>
      </c>
    </row>
    <row r="14" spans="1:3" x14ac:dyDescent="0.25">
      <c r="A14" s="91">
        <v>4348</v>
      </c>
      <c r="B14" s="11"/>
      <c r="C14" s="10" t="s">
        <v>3456</v>
      </c>
    </row>
    <row r="15" spans="1:3" x14ac:dyDescent="0.25">
      <c r="A15" s="95" t="s">
        <v>3539</v>
      </c>
      <c r="B15" s="12"/>
      <c r="C15" s="10" t="s">
        <v>3457</v>
      </c>
    </row>
    <row r="16" spans="1:3" x14ac:dyDescent="0.25">
      <c r="A16" s="91">
        <v>4541</v>
      </c>
      <c r="B16" s="11"/>
      <c r="C16" s="10" t="s">
        <v>3458</v>
      </c>
    </row>
    <row r="17" spans="1:3" x14ac:dyDescent="0.25">
      <c r="A17" s="91">
        <v>4402</v>
      </c>
      <c r="B17" s="11"/>
      <c r="C17" s="10" t="s">
        <v>3778</v>
      </c>
    </row>
    <row r="18" spans="1:3" x14ac:dyDescent="0.25">
      <c r="A18" s="91">
        <v>4583</v>
      </c>
      <c r="B18" s="11"/>
      <c r="C18" s="10" t="s">
        <v>3777</v>
      </c>
    </row>
    <row r="19" spans="1:3" x14ac:dyDescent="0.25">
      <c r="A19" s="91">
        <v>4597</v>
      </c>
      <c r="B19" s="11"/>
      <c r="C19" s="10" t="s">
        <v>3459</v>
      </c>
    </row>
    <row r="20" spans="1:3" x14ac:dyDescent="0.25">
      <c r="A20" s="91">
        <v>4103</v>
      </c>
      <c r="B20" s="11"/>
      <c r="C20" s="10" t="s">
        <v>3460</v>
      </c>
    </row>
    <row r="21" spans="1:3" x14ac:dyDescent="0.25">
      <c r="A21" s="91">
        <v>4674</v>
      </c>
      <c r="B21" s="11"/>
      <c r="C21" s="10" t="s">
        <v>3461</v>
      </c>
    </row>
    <row r="22" spans="1:3" x14ac:dyDescent="0.25">
      <c r="A22" s="91">
        <v>4694</v>
      </c>
      <c r="B22" s="11"/>
      <c r="C22" s="10" t="s">
        <v>3462</v>
      </c>
    </row>
    <row r="23" spans="1:3" x14ac:dyDescent="0.25">
      <c r="A23" s="91">
        <v>4695</v>
      </c>
      <c r="B23" s="11"/>
      <c r="C23" s="10" t="s">
        <v>3463</v>
      </c>
    </row>
    <row r="24" spans="1:3" x14ac:dyDescent="0.25">
      <c r="A24" s="91">
        <v>4759</v>
      </c>
      <c r="B24" s="11"/>
      <c r="C24" s="10" t="s">
        <v>3775</v>
      </c>
    </row>
    <row r="25" spans="1:3" x14ac:dyDescent="0.25">
      <c r="A25" s="91">
        <v>4292</v>
      </c>
      <c r="B25" s="11"/>
      <c r="C25" s="10" t="s">
        <v>3464</v>
      </c>
    </row>
    <row r="26" spans="1:3" x14ac:dyDescent="0.25">
      <c r="A26" s="91">
        <v>4067</v>
      </c>
      <c r="B26" s="11"/>
      <c r="C26" s="10" t="s">
        <v>3465</v>
      </c>
    </row>
    <row r="27" spans="1:3" x14ac:dyDescent="0.25">
      <c r="A27" s="95" t="s">
        <v>3741</v>
      </c>
      <c r="B27" s="11"/>
      <c r="C27" s="10" t="s">
        <v>3737</v>
      </c>
    </row>
    <row r="28" spans="1:3" x14ac:dyDescent="0.25">
      <c r="A28" s="95" t="s">
        <v>3742</v>
      </c>
      <c r="B28" s="11"/>
      <c r="C28" s="10" t="s">
        <v>3738</v>
      </c>
    </row>
    <row r="29" spans="1:3" x14ac:dyDescent="0.25">
      <c r="A29" s="95" t="s">
        <v>3740</v>
      </c>
      <c r="B29" s="11"/>
      <c r="C29" s="10" t="s">
        <v>3739</v>
      </c>
    </row>
    <row r="30" spans="1:3" x14ac:dyDescent="0.25">
      <c r="A30" s="91">
        <v>4940</v>
      </c>
      <c r="B30" s="11"/>
      <c r="C30" s="10" t="s">
        <v>3466</v>
      </c>
    </row>
    <row r="31" spans="1:3" x14ac:dyDescent="0.25">
      <c r="A31" s="91">
        <v>4705</v>
      </c>
      <c r="B31" s="11"/>
      <c r="C31" s="10" t="s">
        <v>3467</v>
      </c>
    </row>
    <row r="32" spans="1:3" x14ac:dyDescent="0.25">
      <c r="A32" s="92">
        <v>3949</v>
      </c>
      <c r="B32" s="11"/>
      <c r="C32" s="10" t="s">
        <v>3468</v>
      </c>
    </row>
    <row r="33" spans="1:3" x14ac:dyDescent="0.25">
      <c r="A33" s="91">
        <v>4947</v>
      </c>
      <c r="B33" s="11"/>
      <c r="C33" s="10" t="s">
        <v>3469</v>
      </c>
    </row>
    <row r="34" spans="1:3" x14ac:dyDescent="0.25">
      <c r="A34" s="91">
        <v>4953</v>
      </c>
      <c r="B34" s="11"/>
      <c r="C34" s="10" t="s">
        <v>3470</v>
      </c>
    </row>
    <row r="35" spans="1:3" x14ac:dyDescent="0.25">
      <c r="A35" s="91">
        <v>4993</v>
      </c>
      <c r="B35" s="11"/>
      <c r="C35" s="10" t="s">
        <v>3471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zoomScale="70" zoomScaleNormal="70" workbookViewId="0">
      <selection activeCell="E2" sqref="E2"/>
    </sheetView>
  </sheetViews>
  <sheetFormatPr defaultRowHeight="15" x14ac:dyDescent="0.25"/>
  <cols>
    <col min="1" max="1" width="10.5703125" style="76" customWidth="1"/>
    <col min="2" max="2" width="16" style="1" customWidth="1"/>
    <col min="3" max="3" width="24.28515625" style="4" customWidth="1"/>
    <col min="4" max="4" width="19.7109375" style="4" customWidth="1"/>
    <col min="5" max="5" width="24.42578125" style="4" customWidth="1"/>
    <col min="6" max="6" width="4.5703125" style="4" customWidth="1"/>
    <col min="7" max="7" width="5" style="4" customWidth="1"/>
    <col min="8" max="8" width="104.140625" style="15" customWidth="1"/>
  </cols>
  <sheetData>
    <row r="1" spans="1:8" x14ac:dyDescent="0.25">
      <c r="A1" s="76" t="s">
        <v>3670</v>
      </c>
    </row>
    <row r="2" spans="1:8" ht="151.5" customHeight="1" x14ac:dyDescent="0.25">
      <c r="A2" s="77"/>
      <c r="C2" s="8" t="s">
        <v>3794</v>
      </c>
      <c r="D2" s="4" t="s">
        <v>3796</v>
      </c>
      <c r="E2" s="4" t="s">
        <v>3795</v>
      </c>
    </row>
    <row r="3" spans="1:8" ht="75" customHeight="1" x14ac:dyDescent="0.25">
      <c r="A3" s="78">
        <v>1</v>
      </c>
      <c r="B3" s="27" t="s">
        <v>3587</v>
      </c>
      <c r="C3" s="28">
        <v>1</v>
      </c>
      <c r="D3" s="28"/>
      <c r="E3" s="29"/>
      <c r="F3" s="112" t="s">
        <v>3637</v>
      </c>
      <c r="G3" s="112"/>
      <c r="H3" s="112"/>
    </row>
    <row r="4" spans="1:8" ht="65.099999999999994" customHeight="1" x14ac:dyDescent="0.25">
      <c r="A4" s="78">
        <v>1</v>
      </c>
      <c r="B4" s="30" t="s">
        <v>3604</v>
      </c>
      <c r="C4" s="31"/>
      <c r="D4" s="30" t="s">
        <v>3588</v>
      </c>
      <c r="E4" s="31"/>
      <c r="F4" s="31"/>
      <c r="G4" s="113" t="s">
        <v>3589</v>
      </c>
      <c r="H4" s="113"/>
    </row>
    <row r="5" spans="1:8" ht="84.95" customHeight="1" x14ac:dyDescent="0.25">
      <c r="A5" s="78">
        <v>1</v>
      </c>
      <c r="B5" s="32" t="s">
        <v>3605</v>
      </c>
      <c r="C5" s="33"/>
      <c r="D5" s="33"/>
      <c r="E5" s="34" t="s">
        <v>3591</v>
      </c>
      <c r="F5" s="33"/>
      <c r="G5" s="33"/>
      <c r="H5" s="35" t="s">
        <v>3590</v>
      </c>
    </row>
    <row r="6" spans="1:8" ht="84.95" customHeight="1" x14ac:dyDescent="0.25">
      <c r="A6" s="78">
        <v>1</v>
      </c>
      <c r="B6" s="36"/>
      <c r="C6" s="37"/>
      <c r="D6" s="37"/>
      <c r="E6" s="34" t="s">
        <v>3592</v>
      </c>
      <c r="F6" s="33"/>
      <c r="G6" s="33"/>
      <c r="H6" s="35" t="s">
        <v>3595</v>
      </c>
    </row>
    <row r="7" spans="1:8" ht="84.95" customHeight="1" x14ac:dyDescent="0.25">
      <c r="A7" s="78">
        <v>1</v>
      </c>
      <c r="B7" s="36"/>
      <c r="C7" s="37"/>
      <c r="D7" s="37"/>
      <c r="E7" s="34" t="s">
        <v>3593</v>
      </c>
      <c r="F7" s="33"/>
      <c r="G7" s="33"/>
      <c r="H7" s="35" t="s">
        <v>3596</v>
      </c>
    </row>
    <row r="8" spans="1:8" ht="84.95" customHeight="1" x14ac:dyDescent="0.25">
      <c r="A8" s="78">
        <v>1</v>
      </c>
      <c r="B8" s="36"/>
      <c r="C8" s="37"/>
      <c r="D8" s="37"/>
      <c r="E8" s="34" t="s">
        <v>3594</v>
      </c>
      <c r="F8" s="33"/>
      <c r="G8" s="33"/>
      <c r="H8" s="35" t="s">
        <v>3682</v>
      </c>
    </row>
    <row r="9" spans="1:8" ht="65.099999999999994" customHeight="1" x14ac:dyDescent="0.25">
      <c r="A9" s="78">
        <v>1</v>
      </c>
      <c r="B9" s="30" t="s">
        <v>3604</v>
      </c>
      <c r="C9" s="31"/>
      <c r="D9" s="30" t="s">
        <v>3597</v>
      </c>
      <c r="E9" s="31"/>
      <c r="F9" s="31"/>
      <c r="G9" s="113" t="s">
        <v>3683</v>
      </c>
      <c r="H9" s="113"/>
    </row>
    <row r="10" spans="1:8" ht="84.95" customHeight="1" x14ac:dyDescent="0.25">
      <c r="A10" s="78">
        <v>1</v>
      </c>
      <c r="B10" s="32" t="s">
        <v>3605</v>
      </c>
      <c r="C10" s="33"/>
      <c r="D10" s="34"/>
      <c r="E10" s="34" t="s">
        <v>3591</v>
      </c>
      <c r="F10" s="33"/>
      <c r="G10" s="33"/>
      <c r="H10" s="35" t="s">
        <v>3599</v>
      </c>
    </row>
    <row r="11" spans="1:8" ht="84.95" customHeight="1" x14ac:dyDescent="0.25">
      <c r="A11" s="78">
        <v>1</v>
      </c>
      <c r="B11" s="36"/>
      <c r="C11" s="37"/>
      <c r="D11" s="38"/>
      <c r="E11" s="34" t="s">
        <v>3592</v>
      </c>
      <c r="F11" s="33"/>
      <c r="G11" s="33"/>
      <c r="H11" s="35" t="s">
        <v>3600</v>
      </c>
    </row>
    <row r="12" spans="1:8" ht="84.95" customHeight="1" x14ac:dyDescent="0.25">
      <c r="A12" s="78">
        <v>1</v>
      </c>
      <c r="B12" s="36"/>
      <c r="C12" s="37"/>
      <c r="D12" s="38"/>
      <c r="E12" s="34" t="s">
        <v>3593</v>
      </c>
      <c r="F12" s="33"/>
      <c r="G12" s="33"/>
      <c r="H12" s="35" t="s">
        <v>3601</v>
      </c>
    </row>
    <row r="13" spans="1:8" ht="65.099999999999994" customHeight="1" x14ac:dyDescent="0.25">
      <c r="A13" s="78">
        <v>1</v>
      </c>
      <c r="B13" s="30" t="s">
        <v>3604</v>
      </c>
      <c r="C13" s="31"/>
      <c r="D13" s="30" t="s">
        <v>3598</v>
      </c>
      <c r="E13" s="30"/>
      <c r="F13" s="31"/>
      <c r="G13" s="111" t="s">
        <v>3684</v>
      </c>
      <c r="H13" s="111"/>
    </row>
    <row r="14" spans="1:8" ht="84.95" customHeight="1" x14ac:dyDescent="0.25">
      <c r="A14" s="78">
        <v>1</v>
      </c>
      <c r="B14" s="32" t="s">
        <v>3605</v>
      </c>
      <c r="C14" s="33"/>
      <c r="D14" s="34"/>
      <c r="E14" s="34" t="s">
        <v>3591</v>
      </c>
      <c r="F14" s="33"/>
      <c r="G14" s="33"/>
      <c r="H14" s="35" t="s">
        <v>3602</v>
      </c>
    </row>
    <row r="15" spans="1:8" ht="84.95" customHeight="1" x14ac:dyDescent="0.25">
      <c r="A15" s="78">
        <v>1</v>
      </c>
      <c r="B15" s="36"/>
      <c r="C15" s="37"/>
      <c r="D15" s="38"/>
      <c r="E15" s="34" t="s">
        <v>3592</v>
      </c>
      <c r="F15" s="33"/>
      <c r="G15" s="33"/>
      <c r="H15" s="35" t="s">
        <v>3603</v>
      </c>
    </row>
    <row r="16" spans="1:8" ht="84.95" customHeight="1" x14ac:dyDescent="0.25">
      <c r="A16" s="78">
        <v>1</v>
      </c>
      <c r="B16" s="36"/>
      <c r="C16" s="37"/>
      <c r="D16" s="38"/>
      <c r="E16" s="34" t="s">
        <v>3593</v>
      </c>
      <c r="F16" s="33"/>
      <c r="G16" s="33"/>
      <c r="H16" s="35" t="s">
        <v>3673</v>
      </c>
    </row>
    <row r="17" spans="1:8" ht="84.95" customHeight="1" x14ac:dyDescent="0.25">
      <c r="A17" s="78">
        <v>1</v>
      </c>
      <c r="B17" s="39"/>
      <c r="C17" s="40"/>
      <c r="D17" s="41"/>
      <c r="E17" s="42" t="s">
        <v>3594</v>
      </c>
      <c r="F17" s="43"/>
      <c r="G17" s="43"/>
      <c r="H17" s="44" t="s">
        <v>3674</v>
      </c>
    </row>
    <row r="18" spans="1:8" ht="7.5" customHeight="1" x14ac:dyDescent="0.25">
      <c r="A18" s="81">
        <v>1</v>
      </c>
      <c r="B18" s="45"/>
      <c r="C18" s="46"/>
      <c r="D18" s="47"/>
      <c r="E18" s="47"/>
      <c r="F18" s="48"/>
      <c r="G18" s="48"/>
      <c r="H18" s="49"/>
    </row>
    <row r="19" spans="1:8" ht="75" customHeight="1" x14ac:dyDescent="0.25">
      <c r="A19" s="78">
        <v>2</v>
      </c>
      <c r="B19" s="16" t="s">
        <v>3587</v>
      </c>
      <c r="C19" s="17">
        <v>2</v>
      </c>
      <c r="D19" s="17"/>
      <c r="E19" s="17"/>
      <c r="F19" s="112" t="s">
        <v>3628</v>
      </c>
      <c r="G19" s="112"/>
      <c r="H19" s="112"/>
    </row>
    <row r="20" spans="1:8" ht="65.099999999999994" customHeight="1" x14ac:dyDescent="0.25">
      <c r="A20" s="78">
        <v>2</v>
      </c>
      <c r="B20" s="30" t="s">
        <v>3604</v>
      </c>
      <c r="C20" s="19"/>
      <c r="D20" s="19" t="s">
        <v>3588</v>
      </c>
      <c r="E20" s="19"/>
      <c r="F20" s="20"/>
      <c r="G20" s="113" t="s">
        <v>3606</v>
      </c>
      <c r="H20" s="113"/>
    </row>
    <row r="21" spans="1:8" s="14" customFormat="1" ht="84.95" customHeight="1" x14ac:dyDescent="0.25">
      <c r="A21" s="78">
        <v>2</v>
      </c>
      <c r="B21" s="32" t="s">
        <v>3605</v>
      </c>
      <c r="C21" s="21"/>
      <c r="D21" s="21"/>
      <c r="E21" s="22" t="s">
        <v>3591</v>
      </c>
      <c r="F21" s="21"/>
      <c r="G21" s="53"/>
      <c r="H21" s="25" t="s">
        <v>3607</v>
      </c>
    </row>
    <row r="22" spans="1:8" s="14" customFormat="1" ht="84.95" customHeight="1" x14ac:dyDescent="0.25">
      <c r="A22" s="78">
        <v>2</v>
      </c>
      <c r="B22" s="54"/>
      <c r="C22" s="24"/>
      <c r="D22" s="24"/>
      <c r="E22" s="22" t="s">
        <v>3592</v>
      </c>
      <c r="F22" s="21"/>
      <c r="G22" s="53"/>
      <c r="H22" s="25" t="s">
        <v>3608</v>
      </c>
    </row>
    <row r="23" spans="1:8" s="14" customFormat="1" ht="84.95" customHeight="1" x14ac:dyDescent="0.25">
      <c r="A23" s="78">
        <v>2</v>
      </c>
      <c r="B23" s="54"/>
      <c r="C23" s="24"/>
      <c r="D23" s="24"/>
      <c r="E23" s="22" t="s">
        <v>3593</v>
      </c>
      <c r="F23" s="21"/>
      <c r="G23" s="53"/>
      <c r="H23" s="25" t="s">
        <v>3675</v>
      </c>
    </row>
    <row r="24" spans="1:8" s="14" customFormat="1" ht="84.95" customHeight="1" x14ac:dyDescent="0.25">
      <c r="A24" s="78">
        <v>2</v>
      </c>
      <c r="B24" s="54"/>
      <c r="C24" s="24"/>
      <c r="D24" s="24"/>
      <c r="E24" s="22" t="s">
        <v>3594</v>
      </c>
      <c r="F24" s="21"/>
      <c r="G24" s="53"/>
      <c r="H24" s="25" t="s">
        <v>3676</v>
      </c>
    </row>
    <row r="25" spans="1:8" ht="65.099999999999994" customHeight="1" x14ac:dyDescent="0.25">
      <c r="A25" s="78">
        <v>2</v>
      </c>
      <c r="B25" s="30" t="s">
        <v>3604</v>
      </c>
      <c r="C25" s="19"/>
      <c r="D25" s="19" t="s">
        <v>3597</v>
      </c>
      <c r="E25" s="19"/>
      <c r="F25" s="20"/>
      <c r="G25" s="113" t="s">
        <v>3609</v>
      </c>
      <c r="H25" s="113"/>
    </row>
    <row r="26" spans="1:8" s="14" customFormat="1" ht="111.75" customHeight="1" x14ac:dyDescent="0.25">
      <c r="A26" s="78">
        <v>2</v>
      </c>
      <c r="B26" s="32" t="s">
        <v>3605</v>
      </c>
      <c r="C26" s="21"/>
      <c r="D26" s="21"/>
      <c r="E26" s="22" t="s">
        <v>3591</v>
      </c>
      <c r="F26" s="21"/>
      <c r="G26" s="53"/>
      <c r="H26" s="25" t="s">
        <v>3677</v>
      </c>
    </row>
    <row r="27" spans="1:8" s="14" customFormat="1" ht="84.95" customHeight="1" x14ac:dyDescent="0.25">
      <c r="A27" s="78">
        <v>2</v>
      </c>
      <c r="B27" s="54"/>
      <c r="C27" s="24"/>
      <c r="D27" s="24"/>
      <c r="E27" s="22" t="s">
        <v>3592</v>
      </c>
      <c r="F27" s="21"/>
      <c r="G27" s="53"/>
      <c r="H27" s="25" t="s">
        <v>3678</v>
      </c>
    </row>
    <row r="28" spans="1:8" s="14" customFormat="1" ht="84.95" customHeight="1" x14ac:dyDescent="0.25">
      <c r="A28" s="78">
        <v>2</v>
      </c>
      <c r="B28" s="54"/>
      <c r="C28" s="24"/>
      <c r="D28" s="24"/>
      <c r="E28" s="22" t="s">
        <v>3593</v>
      </c>
      <c r="F28" s="21"/>
      <c r="G28" s="53"/>
      <c r="H28" s="25" t="s">
        <v>3679</v>
      </c>
    </row>
    <row r="29" spans="1:8" s="14" customFormat="1" ht="84.95" customHeight="1" x14ac:dyDescent="0.25">
      <c r="A29" s="78">
        <v>2</v>
      </c>
      <c r="B29" s="54"/>
      <c r="C29" s="24"/>
      <c r="D29" s="24"/>
      <c r="E29" s="22" t="s">
        <v>3594</v>
      </c>
      <c r="F29" s="21"/>
      <c r="G29" s="53"/>
      <c r="H29" s="25" t="s">
        <v>3610</v>
      </c>
    </row>
    <row r="30" spans="1:8" s="14" customFormat="1" ht="84.95" customHeight="1" x14ac:dyDescent="0.25">
      <c r="A30" s="78"/>
      <c r="B30" s="54"/>
      <c r="C30" s="24"/>
      <c r="D30" s="24"/>
      <c r="E30" s="22" t="s">
        <v>3624</v>
      </c>
      <c r="F30" s="21"/>
      <c r="G30" s="53"/>
      <c r="H30" s="25" t="s">
        <v>3680</v>
      </c>
    </row>
    <row r="31" spans="1:8" ht="65.099999999999994" customHeight="1" x14ac:dyDescent="0.25">
      <c r="A31" s="78">
        <v>2</v>
      </c>
      <c r="B31" s="30" t="s">
        <v>3604</v>
      </c>
      <c r="C31" s="19"/>
      <c r="D31" s="19" t="s">
        <v>3598</v>
      </c>
      <c r="E31" s="19"/>
      <c r="F31" s="20"/>
      <c r="G31" s="113" t="s">
        <v>3611</v>
      </c>
      <c r="H31" s="113"/>
    </row>
    <row r="32" spans="1:8" s="14" customFormat="1" ht="114" customHeight="1" x14ac:dyDescent="0.25">
      <c r="A32" s="78">
        <v>2</v>
      </c>
      <c r="B32" s="32" t="s">
        <v>3605</v>
      </c>
      <c r="C32" s="21"/>
      <c r="D32" s="21"/>
      <c r="E32" s="22" t="s">
        <v>3591</v>
      </c>
      <c r="F32" s="21"/>
      <c r="G32" s="53"/>
      <c r="H32" s="25" t="s">
        <v>3677</v>
      </c>
    </row>
    <row r="33" spans="1:8" s="14" customFormat="1" ht="84.95" customHeight="1" x14ac:dyDescent="0.25">
      <c r="A33" s="78">
        <v>2</v>
      </c>
      <c r="B33" s="54"/>
      <c r="C33" s="24"/>
      <c r="D33" s="24"/>
      <c r="E33" s="22" t="s">
        <v>3592</v>
      </c>
      <c r="F33" s="21"/>
      <c r="G33" s="53"/>
      <c r="H33" s="25" t="s">
        <v>3612</v>
      </c>
    </row>
    <row r="34" spans="1:8" s="14" customFormat="1" ht="84.95" customHeight="1" x14ac:dyDescent="0.25">
      <c r="A34" s="78">
        <v>2</v>
      </c>
      <c r="B34" s="54"/>
      <c r="C34" s="24"/>
      <c r="D34" s="24"/>
      <c r="E34" s="22" t="s">
        <v>3593</v>
      </c>
      <c r="F34" s="21"/>
      <c r="G34" s="53"/>
      <c r="H34" s="25" t="s">
        <v>3613</v>
      </c>
    </row>
    <row r="35" spans="1:8" s="14" customFormat="1" ht="84.95" customHeight="1" x14ac:dyDescent="0.25">
      <c r="A35" s="78">
        <v>2</v>
      </c>
      <c r="B35" s="54"/>
      <c r="C35" s="24"/>
      <c r="D35" s="24"/>
      <c r="E35" s="22" t="s">
        <v>3594</v>
      </c>
      <c r="F35" s="21"/>
      <c r="G35" s="53"/>
      <c r="H35" s="25" t="s">
        <v>3681</v>
      </c>
    </row>
    <row r="36" spans="1:8" s="14" customFormat="1" ht="84.95" customHeight="1" x14ac:dyDescent="0.25">
      <c r="A36" s="78">
        <v>2</v>
      </c>
      <c r="B36" s="54"/>
      <c r="C36" s="24"/>
      <c r="D36" s="24"/>
      <c r="E36" s="22" t="s">
        <v>3624</v>
      </c>
      <c r="F36" s="21"/>
      <c r="G36" s="53"/>
      <c r="H36" s="25" t="s">
        <v>3685</v>
      </c>
    </row>
    <row r="37" spans="1:8" s="14" customFormat="1" ht="84.95" customHeight="1" x14ac:dyDescent="0.25">
      <c r="A37" s="78"/>
      <c r="B37" s="54"/>
      <c r="C37" s="24"/>
      <c r="D37" s="24"/>
      <c r="E37" s="22" t="s">
        <v>3625</v>
      </c>
      <c r="F37" s="21"/>
      <c r="G37" s="53"/>
      <c r="H37" s="25" t="s">
        <v>3686</v>
      </c>
    </row>
    <row r="38" spans="1:8" ht="65.099999999999994" customHeight="1" x14ac:dyDescent="0.25">
      <c r="A38" s="78">
        <v>2</v>
      </c>
      <c r="B38" s="30" t="s">
        <v>3604</v>
      </c>
      <c r="C38" s="19"/>
      <c r="D38" s="19" t="s">
        <v>3626</v>
      </c>
      <c r="E38" s="19"/>
      <c r="F38" s="20"/>
      <c r="G38" s="113" t="s">
        <v>3614</v>
      </c>
      <c r="H38" s="113"/>
    </row>
    <row r="39" spans="1:8" s="14" customFormat="1" ht="84.95" customHeight="1" x14ac:dyDescent="0.25">
      <c r="A39" s="78">
        <v>2</v>
      </c>
      <c r="B39" s="32" t="s">
        <v>3605</v>
      </c>
      <c r="C39" s="21"/>
      <c r="D39" s="21"/>
      <c r="E39" s="22" t="s">
        <v>3591</v>
      </c>
      <c r="F39" s="21"/>
      <c r="G39" s="53"/>
      <c r="H39" s="25" t="s">
        <v>3615</v>
      </c>
    </row>
    <row r="40" spans="1:8" s="14" customFormat="1" ht="84.95" customHeight="1" x14ac:dyDescent="0.25">
      <c r="A40" s="78">
        <v>2</v>
      </c>
      <c r="B40" s="54"/>
      <c r="C40" s="24"/>
      <c r="D40" s="24"/>
      <c r="E40" s="22" t="s">
        <v>3592</v>
      </c>
      <c r="F40" s="21"/>
      <c r="G40" s="53"/>
      <c r="H40" s="25" t="s">
        <v>3616</v>
      </c>
    </row>
    <row r="41" spans="1:8" s="14" customFormat="1" ht="84.95" customHeight="1" x14ac:dyDescent="0.25">
      <c r="A41" s="78">
        <v>2</v>
      </c>
      <c r="B41" s="54"/>
      <c r="C41" s="24"/>
      <c r="D41" s="24"/>
      <c r="E41" s="22" t="s">
        <v>3593</v>
      </c>
      <c r="F41" s="21"/>
      <c r="G41" s="53"/>
      <c r="H41" s="25" t="s">
        <v>3687</v>
      </c>
    </row>
    <row r="42" spans="1:8" s="14" customFormat="1" ht="84.95" customHeight="1" x14ac:dyDescent="0.25">
      <c r="A42" s="78">
        <v>2</v>
      </c>
      <c r="B42" s="54"/>
      <c r="C42" s="24"/>
      <c r="D42" s="24"/>
      <c r="E42" s="22" t="s">
        <v>3594</v>
      </c>
      <c r="F42" s="21"/>
      <c r="G42" s="53"/>
      <c r="H42" s="25" t="s">
        <v>3688</v>
      </c>
    </row>
    <row r="43" spans="1:8" ht="65.099999999999994" customHeight="1" x14ac:dyDescent="0.25">
      <c r="A43" s="78">
        <v>2</v>
      </c>
      <c r="B43" s="30" t="s">
        <v>3604</v>
      </c>
      <c r="C43" s="19"/>
      <c r="D43" s="19" t="s">
        <v>3627</v>
      </c>
      <c r="E43" s="19"/>
      <c r="F43" s="20"/>
      <c r="G43" s="113" t="s">
        <v>3617</v>
      </c>
      <c r="H43" s="113"/>
    </row>
    <row r="44" spans="1:8" s="14" customFormat="1" ht="84.95" customHeight="1" x14ac:dyDescent="0.25">
      <c r="A44" s="78">
        <v>2</v>
      </c>
      <c r="B44" s="32" t="s">
        <v>3605</v>
      </c>
      <c r="C44" s="21"/>
      <c r="D44" s="21"/>
      <c r="E44" s="22" t="s">
        <v>3591</v>
      </c>
      <c r="F44" s="21"/>
      <c r="G44" s="53"/>
      <c r="H44" s="25" t="s">
        <v>3618</v>
      </c>
    </row>
    <row r="45" spans="1:8" s="14" customFormat="1" ht="84.95" customHeight="1" x14ac:dyDescent="0.25">
      <c r="A45" s="78">
        <v>2</v>
      </c>
      <c r="B45" s="54"/>
      <c r="C45" s="24"/>
      <c r="D45" s="24"/>
      <c r="E45" s="22" t="s">
        <v>3592</v>
      </c>
      <c r="F45" s="21"/>
      <c r="G45" s="53"/>
      <c r="H45" s="25" t="s">
        <v>3619</v>
      </c>
    </row>
    <row r="46" spans="1:8" s="14" customFormat="1" ht="84.95" customHeight="1" x14ac:dyDescent="0.25">
      <c r="A46" s="78">
        <v>2</v>
      </c>
      <c r="B46" s="54"/>
      <c r="C46" s="24"/>
      <c r="D46" s="24"/>
      <c r="E46" s="22" t="s">
        <v>3593</v>
      </c>
      <c r="F46" s="21"/>
      <c r="G46" s="53"/>
      <c r="H46" s="25" t="s">
        <v>3620</v>
      </c>
    </row>
    <row r="47" spans="1:8" s="14" customFormat="1" ht="84.95" customHeight="1" x14ac:dyDescent="0.25">
      <c r="A47" s="78">
        <v>2</v>
      </c>
      <c r="B47" s="54"/>
      <c r="C47" s="24"/>
      <c r="D47" s="24"/>
      <c r="E47" s="22" t="s">
        <v>3594</v>
      </c>
      <c r="F47" s="21"/>
      <c r="G47" s="53"/>
      <c r="H47" s="25" t="s">
        <v>3621</v>
      </c>
    </row>
    <row r="48" spans="1:8" s="14" customFormat="1" ht="84.95" customHeight="1" x14ac:dyDescent="0.25">
      <c r="A48" s="78">
        <v>2</v>
      </c>
      <c r="B48" s="54"/>
      <c r="C48" s="24"/>
      <c r="D48" s="24"/>
      <c r="E48" s="22" t="s">
        <v>3624</v>
      </c>
      <c r="F48" s="21"/>
      <c r="G48" s="53"/>
      <c r="H48" s="25" t="s">
        <v>3623</v>
      </c>
    </row>
    <row r="49" spans="1:8" s="14" customFormat="1" ht="84.95" customHeight="1" x14ac:dyDescent="0.25">
      <c r="A49" s="78">
        <v>2</v>
      </c>
      <c r="B49" s="54"/>
      <c r="C49" s="24"/>
      <c r="D49" s="24"/>
      <c r="E49" s="22" t="s">
        <v>3625</v>
      </c>
      <c r="F49" s="21"/>
      <c r="G49" s="53"/>
      <c r="H49" s="25" t="s">
        <v>3622</v>
      </c>
    </row>
    <row r="50" spans="1:8" ht="7.5" customHeight="1" x14ac:dyDescent="0.25">
      <c r="A50" s="81">
        <v>2</v>
      </c>
      <c r="B50" s="50"/>
      <c r="C50" s="51"/>
      <c r="D50" s="51"/>
      <c r="E50" s="51"/>
      <c r="F50" s="51"/>
      <c r="G50" s="51"/>
      <c r="H50" s="52"/>
    </row>
    <row r="51" spans="1:8" s="13" customFormat="1" ht="75" customHeight="1" x14ac:dyDescent="0.25">
      <c r="A51" s="79">
        <v>3</v>
      </c>
      <c r="B51" s="58" t="s">
        <v>3587</v>
      </c>
      <c r="C51" s="58">
        <v>3</v>
      </c>
      <c r="D51" s="58"/>
      <c r="E51" s="58"/>
      <c r="F51" s="115" t="s">
        <v>3629</v>
      </c>
      <c r="G51" s="115"/>
      <c r="H51" s="115"/>
    </row>
    <row r="52" spans="1:8" s="13" customFormat="1" ht="65.099999999999994" customHeight="1" x14ac:dyDescent="0.25">
      <c r="A52" s="79">
        <v>3</v>
      </c>
      <c r="B52" s="59" t="s">
        <v>3604</v>
      </c>
      <c r="C52" s="59"/>
      <c r="D52" s="59" t="s">
        <v>3588</v>
      </c>
      <c r="E52" s="59"/>
      <c r="F52" s="60"/>
      <c r="G52" s="113" t="s">
        <v>3630</v>
      </c>
      <c r="H52" s="113"/>
    </row>
    <row r="53" spans="1:8" s="13" customFormat="1" ht="84.95" customHeight="1" x14ac:dyDescent="0.25">
      <c r="A53" s="79">
        <v>3</v>
      </c>
      <c r="B53" s="61" t="s">
        <v>3605</v>
      </c>
      <c r="C53" s="61"/>
      <c r="D53" s="61"/>
      <c r="E53" s="61" t="s">
        <v>3591</v>
      </c>
      <c r="F53" s="62"/>
      <c r="G53" s="62"/>
      <c r="H53" s="25" t="s">
        <v>3631</v>
      </c>
    </row>
    <row r="54" spans="1:8" s="13" customFormat="1" ht="84.95" customHeight="1" x14ac:dyDescent="0.25">
      <c r="A54" s="79">
        <v>3</v>
      </c>
      <c r="B54" s="63"/>
      <c r="C54" s="63"/>
      <c r="D54" s="63"/>
      <c r="E54" s="61" t="s">
        <v>3592</v>
      </c>
      <c r="F54" s="62"/>
      <c r="G54" s="62"/>
      <c r="H54" s="25" t="s">
        <v>3689</v>
      </c>
    </row>
    <row r="55" spans="1:8" s="13" customFormat="1" ht="84.95" customHeight="1" x14ac:dyDescent="0.25">
      <c r="A55" s="79">
        <v>3</v>
      </c>
      <c r="B55" s="63"/>
      <c r="C55" s="63"/>
      <c r="D55" s="63"/>
      <c r="E55" s="61" t="s">
        <v>3593</v>
      </c>
      <c r="F55" s="62"/>
      <c r="G55" s="62"/>
      <c r="H55" s="25" t="s">
        <v>3690</v>
      </c>
    </row>
    <row r="56" spans="1:8" s="13" customFormat="1" ht="84.95" customHeight="1" x14ac:dyDescent="0.25">
      <c r="A56" s="79">
        <v>3</v>
      </c>
      <c r="B56" s="63"/>
      <c r="C56" s="63"/>
      <c r="D56" s="63"/>
      <c r="E56" s="61" t="s">
        <v>3594</v>
      </c>
      <c r="F56" s="62"/>
      <c r="G56" s="62"/>
      <c r="H56" s="25" t="s">
        <v>3632</v>
      </c>
    </row>
    <row r="57" spans="1:8" s="13" customFormat="1" ht="65.099999999999994" customHeight="1" x14ac:dyDescent="0.25">
      <c r="A57" s="79">
        <v>3</v>
      </c>
      <c r="B57" s="59" t="s">
        <v>3604</v>
      </c>
      <c r="C57" s="59"/>
      <c r="D57" s="59" t="s">
        <v>3597</v>
      </c>
      <c r="E57" s="59"/>
      <c r="F57" s="60"/>
      <c r="G57" s="113" t="s">
        <v>3724</v>
      </c>
      <c r="H57" s="113"/>
    </row>
    <row r="58" spans="1:8" s="13" customFormat="1" ht="84.95" customHeight="1" x14ac:dyDescent="0.25">
      <c r="A58" s="79">
        <v>3</v>
      </c>
      <c r="B58" s="61" t="s">
        <v>3605</v>
      </c>
      <c r="C58" s="61"/>
      <c r="D58" s="61"/>
      <c r="E58" s="61" t="s">
        <v>3591</v>
      </c>
      <c r="F58" s="62"/>
      <c r="G58" s="62"/>
      <c r="H58" s="25" t="s">
        <v>3633</v>
      </c>
    </row>
    <row r="59" spans="1:8" s="13" customFormat="1" ht="84.95" customHeight="1" x14ac:dyDescent="0.25">
      <c r="A59" s="79">
        <v>3</v>
      </c>
      <c r="B59" s="63"/>
      <c r="C59" s="63"/>
      <c r="D59" s="63"/>
      <c r="E59" s="61" t="s">
        <v>3592</v>
      </c>
      <c r="F59" s="62"/>
      <c r="G59" s="62"/>
      <c r="H59" s="25" t="s">
        <v>3691</v>
      </c>
    </row>
    <row r="60" spans="1:8" s="13" customFormat="1" ht="84.95" customHeight="1" x14ac:dyDescent="0.25">
      <c r="A60" s="79">
        <v>3</v>
      </c>
      <c r="B60" s="63"/>
      <c r="C60" s="63"/>
      <c r="D60" s="63"/>
      <c r="E60" s="61" t="s">
        <v>3593</v>
      </c>
      <c r="F60" s="62"/>
      <c r="G60" s="62"/>
      <c r="H60" s="25" t="s">
        <v>3692</v>
      </c>
    </row>
    <row r="61" spans="1:8" s="13" customFormat="1" ht="65.099999999999994" customHeight="1" x14ac:dyDescent="0.25">
      <c r="A61" s="79">
        <v>3</v>
      </c>
      <c r="B61" s="59" t="s">
        <v>3604</v>
      </c>
      <c r="C61" s="59"/>
      <c r="D61" s="59" t="s">
        <v>3598</v>
      </c>
      <c r="E61" s="59"/>
      <c r="F61" s="60"/>
      <c r="G61" s="113" t="s">
        <v>3634</v>
      </c>
      <c r="H61" s="113"/>
    </row>
    <row r="62" spans="1:8" s="13" customFormat="1" ht="84.95" customHeight="1" x14ac:dyDescent="0.25">
      <c r="A62" s="79">
        <v>3</v>
      </c>
      <c r="B62" s="61" t="s">
        <v>3605</v>
      </c>
      <c r="C62" s="61"/>
      <c r="D62" s="61"/>
      <c r="E62" s="61" t="s">
        <v>3591</v>
      </c>
      <c r="F62" s="62"/>
      <c r="G62" s="62"/>
      <c r="H62" s="25" t="s">
        <v>3635</v>
      </c>
    </row>
    <row r="63" spans="1:8" s="13" customFormat="1" ht="84.95" customHeight="1" x14ac:dyDescent="0.25">
      <c r="A63" s="79">
        <v>3</v>
      </c>
      <c r="B63" s="63"/>
      <c r="C63" s="63"/>
      <c r="D63" s="63"/>
      <c r="E63" s="61" t="s">
        <v>3592</v>
      </c>
      <c r="F63" s="62"/>
      <c r="G63" s="62"/>
      <c r="H63" s="25" t="s">
        <v>3636</v>
      </c>
    </row>
    <row r="64" spans="1:8" ht="7.5" customHeight="1" x14ac:dyDescent="0.25">
      <c r="A64" s="81">
        <v>3</v>
      </c>
      <c r="B64" s="64"/>
      <c r="C64" s="65"/>
      <c r="D64" s="65"/>
      <c r="E64" s="65"/>
      <c r="F64" s="65"/>
      <c r="G64" s="65"/>
      <c r="H64" s="66"/>
    </row>
    <row r="65" spans="1:13" ht="75" customHeight="1" x14ac:dyDescent="0.25">
      <c r="A65" s="80">
        <v>4</v>
      </c>
      <c r="B65" s="67" t="s">
        <v>3587</v>
      </c>
      <c r="C65" s="58">
        <v>4</v>
      </c>
      <c r="D65" s="68"/>
      <c r="E65" s="68"/>
      <c r="F65" s="115" t="s">
        <v>3693</v>
      </c>
      <c r="G65" s="115"/>
      <c r="H65" s="115"/>
    </row>
    <row r="66" spans="1:13" ht="65.099999999999994" customHeight="1" x14ac:dyDescent="0.25">
      <c r="A66" s="80">
        <v>4</v>
      </c>
      <c r="B66" s="59" t="s">
        <v>3604</v>
      </c>
      <c r="C66" s="59"/>
      <c r="D66" s="59" t="s">
        <v>3588</v>
      </c>
      <c r="E66" s="59"/>
      <c r="F66" s="69"/>
      <c r="G66" s="113" t="s">
        <v>3694</v>
      </c>
      <c r="H66" s="113"/>
      <c r="I66" s="57"/>
      <c r="J66" s="57"/>
      <c r="K66" s="57"/>
      <c r="L66" s="57"/>
      <c r="M66" s="57"/>
    </row>
    <row r="67" spans="1:13" s="56" customFormat="1" ht="84.95" customHeight="1" x14ac:dyDescent="0.25">
      <c r="A67" s="80">
        <v>4</v>
      </c>
      <c r="B67" s="61" t="s">
        <v>3605</v>
      </c>
      <c r="C67" s="62"/>
      <c r="D67" s="62"/>
      <c r="E67" s="61" t="s">
        <v>3591</v>
      </c>
      <c r="F67" s="62"/>
      <c r="G67" s="62"/>
      <c r="H67" s="25" t="s">
        <v>3638</v>
      </c>
    </row>
    <row r="68" spans="1:13" s="56" customFormat="1" ht="84.95" customHeight="1" x14ac:dyDescent="0.25">
      <c r="A68" s="80">
        <v>4</v>
      </c>
      <c r="B68" s="70"/>
      <c r="C68" s="71"/>
      <c r="D68" s="71"/>
      <c r="E68" s="61" t="s">
        <v>3592</v>
      </c>
      <c r="F68" s="62"/>
      <c r="G68" s="62"/>
      <c r="H68" s="25" t="s">
        <v>3695</v>
      </c>
    </row>
    <row r="69" spans="1:13" ht="65.099999999999994" customHeight="1" x14ac:dyDescent="0.25">
      <c r="A69" s="80">
        <v>4</v>
      </c>
      <c r="B69" s="59" t="s">
        <v>3604</v>
      </c>
      <c r="C69" s="59"/>
      <c r="D69" s="59" t="s">
        <v>3597</v>
      </c>
      <c r="E69" s="59"/>
      <c r="F69" s="69"/>
      <c r="G69" s="113" t="s">
        <v>3639</v>
      </c>
      <c r="H69" s="113"/>
    </row>
    <row r="70" spans="1:13" s="56" customFormat="1" ht="84.95" customHeight="1" x14ac:dyDescent="0.25">
      <c r="A70" s="80">
        <v>4</v>
      </c>
      <c r="B70" s="61" t="s">
        <v>3605</v>
      </c>
      <c r="C70" s="62"/>
      <c r="D70" s="62"/>
      <c r="E70" s="61" t="s">
        <v>3591</v>
      </c>
      <c r="F70" s="62"/>
      <c r="G70" s="62"/>
      <c r="H70" s="25" t="s">
        <v>3696</v>
      </c>
    </row>
    <row r="71" spans="1:13" s="56" customFormat="1" ht="84.95" customHeight="1" x14ac:dyDescent="0.25">
      <c r="A71" s="80">
        <v>4</v>
      </c>
      <c r="B71" s="70"/>
      <c r="C71" s="71"/>
      <c r="D71" s="71"/>
      <c r="E71" s="61" t="s">
        <v>3592</v>
      </c>
      <c r="F71" s="62"/>
      <c r="G71" s="62"/>
      <c r="H71" s="25" t="s">
        <v>3640</v>
      </c>
    </row>
    <row r="72" spans="1:13" s="56" customFormat="1" ht="84.95" customHeight="1" x14ac:dyDescent="0.25">
      <c r="A72" s="80">
        <v>4</v>
      </c>
      <c r="B72" s="70"/>
      <c r="C72" s="71"/>
      <c r="D72" s="71"/>
      <c r="E72" s="61" t="s">
        <v>3593</v>
      </c>
      <c r="F72" s="62"/>
      <c r="G72" s="62"/>
      <c r="H72" s="25" t="s">
        <v>3697</v>
      </c>
    </row>
    <row r="73" spans="1:13" ht="65.099999999999994" customHeight="1" x14ac:dyDescent="0.25">
      <c r="A73" s="80">
        <v>4</v>
      </c>
      <c r="B73" s="59" t="s">
        <v>3604</v>
      </c>
      <c r="C73" s="59"/>
      <c r="D73" s="59" t="s">
        <v>3598</v>
      </c>
      <c r="E73" s="59"/>
      <c r="F73" s="69"/>
      <c r="G73" s="113" t="s">
        <v>3698</v>
      </c>
      <c r="H73" s="113"/>
    </row>
    <row r="74" spans="1:13" s="56" customFormat="1" ht="84.95" customHeight="1" x14ac:dyDescent="0.25">
      <c r="A74" s="80">
        <v>4</v>
      </c>
      <c r="B74" s="61" t="s">
        <v>3605</v>
      </c>
      <c r="C74" s="62"/>
      <c r="D74" s="62"/>
      <c r="E74" s="61" t="s">
        <v>3591</v>
      </c>
      <c r="F74" s="62"/>
      <c r="G74" s="62"/>
      <c r="H74" s="25" t="s">
        <v>3725</v>
      </c>
    </row>
    <row r="75" spans="1:13" s="56" customFormat="1" ht="84.95" customHeight="1" x14ac:dyDescent="0.25">
      <c r="A75" s="80">
        <v>4</v>
      </c>
      <c r="B75" s="70"/>
      <c r="C75" s="71"/>
      <c r="D75" s="71"/>
      <c r="E75" s="61" t="s">
        <v>3592</v>
      </c>
      <c r="F75" s="62"/>
      <c r="G75" s="62"/>
      <c r="H75" s="25" t="s">
        <v>3699</v>
      </c>
    </row>
    <row r="76" spans="1:13" ht="84.95" customHeight="1" x14ac:dyDescent="0.25">
      <c r="A76" s="80">
        <v>4</v>
      </c>
      <c r="B76" s="72"/>
      <c r="C76" s="63"/>
      <c r="D76" s="63"/>
      <c r="E76" s="61" t="s">
        <v>3593</v>
      </c>
      <c r="F76" s="53"/>
      <c r="G76" s="53"/>
      <c r="H76" s="25" t="s">
        <v>3641</v>
      </c>
    </row>
    <row r="77" spans="1:13" ht="7.5" customHeight="1" x14ac:dyDescent="0.25">
      <c r="A77" s="81">
        <v>4</v>
      </c>
      <c r="B77" s="50"/>
      <c r="C77" s="51"/>
      <c r="D77" s="51"/>
      <c r="E77" s="51"/>
      <c r="F77" s="51"/>
      <c r="G77" s="51"/>
      <c r="H77" s="52"/>
    </row>
    <row r="78" spans="1:13" ht="75" customHeight="1" x14ac:dyDescent="0.25">
      <c r="A78" s="80">
        <v>5</v>
      </c>
      <c r="B78" s="17" t="s">
        <v>3587</v>
      </c>
      <c r="C78" s="17">
        <v>5</v>
      </c>
      <c r="D78" s="17"/>
      <c r="E78" s="17"/>
      <c r="F78" s="114" t="s">
        <v>3700</v>
      </c>
      <c r="G78" s="114"/>
      <c r="H78" s="114"/>
    </row>
    <row r="79" spans="1:13" ht="65.099999999999994" customHeight="1" x14ac:dyDescent="0.25">
      <c r="A79" s="80">
        <v>5</v>
      </c>
      <c r="B79" s="19" t="s">
        <v>3604</v>
      </c>
      <c r="C79" s="19"/>
      <c r="D79" s="19" t="s">
        <v>3588</v>
      </c>
      <c r="E79" s="19"/>
      <c r="F79" s="20"/>
      <c r="G79" s="116" t="s">
        <v>3701</v>
      </c>
      <c r="H79" s="116"/>
    </row>
    <row r="80" spans="1:13" ht="84.95" customHeight="1" x14ac:dyDescent="0.25">
      <c r="A80" s="80">
        <v>5</v>
      </c>
      <c r="B80" s="22" t="s">
        <v>3642</v>
      </c>
      <c r="C80" s="22"/>
      <c r="D80" s="22"/>
      <c r="E80" s="22" t="s">
        <v>3591</v>
      </c>
      <c r="F80" s="21"/>
      <c r="G80" s="21"/>
      <c r="H80" s="55" t="s">
        <v>3643</v>
      </c>
    </row>
    <row r="81" spans="1:8" ht="84.95" customHeight="1" x14ac:dyDescent="0.25">
      <c r="A81" s="80">
        <v>5</v>
      </c>
      <c r="B81" s="26"/>
      <c r="C81" s="26"/>
      <c r="D81" s="26"/>
      <c r="E81" s="22" t="s">
        <v>3592</v>
      </c>
      <c r="F81" s="21"/>
      <c r="G81" s="21"/>
      <c r="H81" s="55" t="s">
        <v>3702</v>
      </c>
    </row>
    <row r="82" spans="1:8" ht="84.95" customHeight="1" x14ac:dyDescent="0.25">
      <c r="A82" s="80">
        <v>5</v>
      </c>
      <c r="B82" s="26"/>
      <c r="C82" s="26"/>
      <c r="D82" s="26"/>
      <c r="E82" s="22" t="s">
        <v>3593</v>
      </c>
      <c r="F82" s="21"/>
      <c r="G82" s="21"/>
      <c r="H82" s="55" t="s">
        <v>3644</v>
      </c>
    </row>
    <row r="83" spans="1:8" ht="84.95" customHeight="1" x14ac:dyDescent="0.25">
      <c r="A83" s="80">
        <v>5</v>
      </c>
      <c r="B83" s="26"/>
      <c r="C83" s="26"/>
      <c r="D83" s="26"/>
      <c r="E83" s="22" t="s">
        <v>3594</v>
      </c>
      <c r="F83" s="21"/>
      <c r="G83" s="21"/>
      <c r="H83" s="55" t="s">
        <v>3703</v>
      </c>
    </row>
    <row r="84" spans="1:8" ht="65.099999999999994" customHeight="1" x14ac:dyDescent="0.25">
      <c r="A84" s="80">
        <v>5</v>
      </c>
      <c r="B84" s="19" t="s">
        <v>3604</v>
      </c>
      <c r="C84" s="19"/>
      <c r="D84" s="59" t="s">
        <v>3597</v>
      </c>
      <c r="E84" s="19"/>
      <c r="F84" s="20"/>
      <c r="G84" s="116" t="s">
        <v>3704</v>
      </c>
      <c r="H84" s="116"/>
    </row>
    <row r="85" spans="1:8" ht="84.95" customHeight="1" x14ac:dyDescent="0.25">
      <c r="A85" s="80">
        <v>5</v>
      </c>
      <c r="B85" s="22" t="s">
        <v>3642</v>
      </c>
      <c r="C85" s="22"/>
      <c r="D85" s="22"/>
      <c r="E85" s="22" t="s">
        <v>3591</v>
      </c>
      <c r="F85" s="21"/>
      <c r="G85" s="21"/>
      <c r="H85" s="55" t="s">
        <v>3705</v>
      </c>
    </row>
    <row r="86" spans="1:8" ht="84.95" customHeight="1" x14ac:dyDescent="0.25">
      <c r="A86" s="80">
        <v>5</v>
      </c>
      <c r="B86" s="26"/>
      <c r="C86" s="26"/>
      <c r="D86" s="26"/>
      <c r="E86" s="22" t="s">
        <v>3592</v>
      </c>
      <c r="F86" s="21"/>
      <c r="G86" s="21"/>
      <c r="H86" s="55" t="s">
        <v>3706</v>
      </c>
    </row>
    <row r="87" spans="1:8" ht="84.95" customHeight="1" x14ac:dyDescent="0.25">
      <c r="A87" s="80">
        <v>5</v>
      </c>
      <c r="B87" s="26"/>
      <c r="C87" s="26"/>
      <c r="D87" s="26"/>
      <c r="E87" s="22" t="s">
        <v>3593</v>
      </c>
      <c r="F87" s="21"/>
      <c r="G87" s="21"/>
      <c r="H87" s="55" t="s">
        <v>3707</v>
      </c>
    </row>
    <row r="88" spans="1:8" ht="84.95" customHeight="1" x14ac:dyDescent="0.25">
      <c r="A88" s="80">
        <v>5</v>
      </c>
      <c r="B88" s="26"/>
      <c r="C88" s="26"/>
      <c r="D88" s="26"/>
      <c r="E88" s="22" t="s">
        <v>3594</v>
      </c>
      <c r="F88" s="21"/>
      <c r="G88" s="21"/>
      <c r="H88" s="55" t="s">
        <v>3708</v>
      </c>
    </row>
    <row r="89" spans="1:8" ht="65.099999999999994" customHeight="1" x14ac:dyDescent="0.25">
      <c r="A89" s="80">
        <v>5</v>
      </c>
      <c r="B89" s="19" t="s">
        <v>3604</v>
      </c>
      <c r="C89" s="19"/>
      <c r="D89" s="19" t="s">
        <v>3598</v>
      </c>
      <c r="E89" s="19"/>
      <c r="F89" s="20"/>
      <c r="G89" s="116" t="s">
        <v>3709</v>
      </c>
      <c r="H89" s="116"/>
    </row>
    <row r="90" spans="1:8" ht="84.95" customHeight="1" x14ac:dyDescent="0.25">
      <c r="A90" s="80">
        <v>5</v>
      </c>
      <c r="B90" s="22" t="s">
        <v>3642</v>
      </c>
      <c r="C90" s="22"/>
      <c r="D90" s="22"/>
      <c r="E90" s="22" t="s">
        <v>3591</v>
      </c>
      <c r="F90" s="21"/>
      <c r="G90" s="21"/>
      <c r="H90" s="55" t="s">
        <v>3645</v>
      </c>
    </row>
    <row r="91" spans="1:8" ht="84.95" customHeight="1" x14ac:dyDescent="0.25">
      <c r="A91" s="80">
        <v>5</v>
      </c>
      <c r="B91" s="73"/>
      <c r="C91" s="74"/>
      <c r="D91" s="74"/>
      <c r="E91" s="22" t="s">
        <v>3592</v>
      </c>
      <c r="F91" s="21"/>
      <c r="G91" s="21"/>
      <c r="H91" s="55" t="s">
        <v>3710</v>
      </c>
    </row>
    <row r="92" spans="1:8" ht="84.95" customHeight="1" x14ac:dyDescent="0.25">
      <c r="A92" s="80">
        <v>5</v>
      </c>
      <c r="B92" s="73"/>
      <c r="C92" s="74"/>
      <c r="D92" s="74"/>
      <c r="E92" s="22" t="s">
        <v>3593</v>
      </c>
      <c r="F92" s="21"/>
      <c r="G92" s="21"/>
      <c r="H92" s="55" t="s">
        <v>3646</v>
      </c>
    </row>
    <row r="93" spans="1:8" ht="7.5" customHeight="1" x14ac:dyDescent="0.25">
      <c r="A93" s="81">
        <v>5</v>
      </c>
      <c r="B93" s="50"/>
      <c r="C93" s="51"/>
      <c r="D93" s="51"/>
      <c r="E93" s="51"/>
      <c r="F93" s="51"/>
      <c r="G93" s="51"/>
      <c r="H93" s="52"/>
    </row>
    <row r="94" spans="1:8" s="75" customFormat="1" ht="75" customHeight="1" x14ac:dyDescent="0.25">
      <c r="A94" s="80">
        <v>6</v>
      </c>
      <c r="B94" s="16" t="s">
        <v>3587</v>
      </c>
      <c r="C94" s="17">
        <v>6</v>
      </c>
      <c r="D94" s="18"/>
      <c r="E94" s="18"/>
      <c r="F94" s="114" t="s">
        <v>3711</v>
      </c>
      <c r="G94" s="114"/>
      <c r="H94" s="114"/>
    </row>
    <row r="95" spans="1:8" ht="65.099999999999994" customHeight="1" x14ac:dyDescent="0.25">
      <c r="A95" s="80">
        <v>6</v>
      </c>
      <c r="B95" s="19" t="s">
        <v>3604</v>
      </c>
      <c r="C95" s="20"/>
      <c r="D95" s="19" t="s">
        <v>3588</v>
      </c>
      <c r="E95" s="20"/>
      <c r="F95" s="20"/>
      <c r="G95" s="113" t="s">
        <v>3647</v>
      </c>
      <c r="H95" s="113"/>
    </row>
    <row r="96" spans="1:8" s="14" customFormat="1" ht="84.95" customHeight="1" x14ac:dyDescent="0.25">
      <c r="A96" s="80">
        <v>6</v>
      </c>
      <c r="B96" s="22" t="s">
        <v>3605</v>
      </c>
      <c r="C96" s="21"/>
      <c r="D96" s="22"/>
      <c r="E96" s="22" t="s">
        <v>3591</v>
      </c>
      <c r="F96" s="21"/>
      <c r="G96" s="53"/>
      <c r="H96" s="25" t="s">
        <v>3648</v>
      </c>
    </row>
    <row r="97" spans="1:8" s="14" customFormat="1" ht="84.95" customHeight="1" x14ac:dyDescent="0.25">
      <c r="A97" s="80">
        <v>6</v>
      </c>
      <c r="B97" s="26"/>
      <c r="C97" s="24"/>
      <c r="D97" s="26"/>
      <c r="E97" s="22" t="s">
        <v>3592</v>
      </c>
      <c r="F97" s="21"/>
      <c r="G97" s="53"/>
      <c r="H97" s="25" t="s">
        <v>3712</v>
      </c>
    </row>
    <row r="98" spans="1:8" s="14" customFormat="1" ht="84.95" customHeight="1" x14ac:dyDescent="0.25">
      <c r="A98" s="80">
        <v>6</v>
      </c>
      <c r="B98" s="26"/>
      <c r="C98" s="24"/>
      <c r="D98" s="26"/>
      <c r="E98" s="22" t="s">
        <v>3593</v>
      </c>
      <c r="F98" s="21"/>
      <c r="G98" s="53"/>
      <c r="H98" s="25" t="s">
        <v>3713</v>
      </c>
    </row>
    <row r="99" spans="1:8" s="14" customFormat="1" ht="84.95" customHeight="1" thickBot="1" x14ac:dyDescent="0.3">
      <c r="A99" s="80">
        <v>6</v>
      </c>
      <c r="B99" s="26"/>
      <c r="C99" s="24"/>
      <c r="D99" s="26"/>
      <c r="E99" s="22" t="s">
        <v>3594</v>
      </c>
      <c r="F99" s="21"/>
      <c r="G99" s="53"/>
      <c r="H99" s="25" t="s">
        <v>3714</v>
      </c>
    </row>
    <row r="100" spans="1:8" s="14" customFormat="1" ht="84.95" customHeight="1" thickBot="1" x14ac:dyDescent="0.3">
      <c r="A100" s="80">
        <v>6</v>
      </c>
      <c r="B100" s="26"/>
      <c r="C100" s="24"/>
      <c r="D100" s="26"/>
      <c r="E100" s="22" t="s">
        <v>3624</v>
      </c>
      <c r="F100" s="21"/>
      <c r="G100" s="53"/>
      <c r="H100" s="86" t="s">
        <v>3715</v>
      </c>
    </row>
    <row r="101" spans="1:8" s="14" customFormat="1" ht="84.95" customHeight="1" x14ac:dyDescent="0.25">
      <c r="A101" s="80"/>
      <c r="B101" s="26"/>
      <c r="C101" s="24"/>
      <c r="D101" s="26"/>
      <c r="E101" s="22" t="s">
        <v>3625</v>
      </c>
      <c r="F101" s="21"/>
      <c r="G101" s="53"/>
      <c r="H101" s="89" t="s">
        <v>3726</v>
      </c>
    </row>
    <row r="102" spans="1:8" s="14" customFormat="1" ht="84.95" customHeight="1" x14ac:dyDescent="0.25">
      <c r="A102" s="80"/>
      <c r="B102" s="26"/>
      <c r="C102" s="24"/>
      <c r="D102" s="26"/>
      <c r="E102" s="22" t="s">
        <v>3658</v>
      </c>
      <c r="F102" s="21"/>
      <c r="G102" s="53"/>
      <c r="H102" s="88" t="s">
        <v>3716</v>
      </c>
    </row>
    <row r="103" spans="1:8" ht="65.099999999999994" customHeight="1" x14ac:dyDescent="0.25">
      <c r="A103" s="80">
        <v>6</v>
      </c>
      <c r="B103" s="19" t="s">
        <v>3604</v>
      </c>
      <c r="C103" s="20"/>
      <c r="D103" s="19" t="s">
        <v>3597</v>
      </c>
      <c r="E103" s="19"/>
      <c r="F103" s="20"/>
      <c r="G103" s="113" t="s">
        <v>3717</v>
      </c>
      <c r="H103" s="113"/>
    </row>
    <row r="104" spans="1:8" s="14" customFormat="1" ht="84.95" customHeight="1" x14ac:dyDescent="0.25">
      <c r="A104" s="80">
        <v>6</v>
      </c>
      <c r="B104" s="22" t="s">
        <v>3605</v>
      </c>
      <c r="C104" s="21"/>
      <c r="D104" s="22"/>
      <c r="E104" s="22" t="s">
        <v>3591</v>
      </c>
      <c r="F104" s="21"/>
      <c r="G104" s="53"/>
      <c r="H104" s="25" t="s">
        <v>3718</v>
      </c>
    </row>
    <row r="105" spans="1:8" s="14" customFormat="1" ht="84.95" customHeight="1" x14ac:dyDescent="0.25">
      <c r="A105" s="80">
        <v>6</v>
      </c>
      <c r="B105" s="26"/>
      <c r="C105" s="24"/>
      <c r="D105" s="26"/>
      <c r="E105" s="22" t="s">
        <v>3592</v>
      </c>
      <c r="F105" s="21"/>
      <c r="G105" s="53"/>
      <c r="H105" s="25" t="s">
        <v>3649</v>
      </c>
    </row>
    <row r="106" spans="1:8" s="14" customFormat="1" ht="84.95" customHeight="1" x14ac:dyDescent="0.25">
      <c r="A106" s="80">
        <v>6</v>
      </c>
      <c r="B106" s="26"/>
      <c r="C106" s="24"/>
      <c r="D106" s="26"/>
      <c r="E106" s="22" t="s">
        <v>3593</v>
      </c>
      <c r="F106" s="21"/>
      <c r="G106" s="53"/>
      <c r="H106" s="25" t="s">
        <v>3650</v>
      </c>
    </row>
    <row r="107" spans="1:8" s="14" customFormat="1" ht="84.95" customHeight="1" x14ac:dyDescent="0.25">
      <c r="A107" s="80">
        <v>6</v>
      </c>
      <c r="B107" s="26"/>
      <c r="C107" s="24"/>
      <c r="D107" s="26"/>
      <c r="E107" s="22" t="s">
        <v>3594</v>
      </c>
      <c r="F107" s="21"/>
      <c r="G107" s="53"/>
      <c r="H107" s="25" t="s">
        <v>3651</v>
      </c>
    </row>
    <row r="108" spans="1:8" s="14" customFormat="1" ht="84.95" customHeight="1" x14ac:dyDescent="0.25">
      <c r="A108" s="80">
        <v>6</v>
      </c>
      <c r="B108" s="26"/>
      <c r="C108" s="24"/>
      <c r="D108" s="26"/>
      <c r="E108" s="22" t="s">
        <v>3624</v>
      </c>
      <c r="F108" s="21"/>
      <c r="G108" s="53"/>
      <c r="H108" s="25" t="s">
        <v>3652</v>
      </c>
    </row>
    <row r="109" spans="1:8" s="14" customFormat="1" ht="84.95" customHeight="1" x14ac:dyDescent="0.25">
      <c r="A109" s="80"/>
      <c r="B109" s="26"/>
      <c r="C109" s="24"/>
      <c r="D109" s="26"/>
      <c r="E109" s="22" t="s">
        <v>3625</v>
      </c>
      <c r="F109" s="21"/>
      <c r="G109" s="53"/>
      <c r="H109" s="87" t="s">
        <v>3671</v>
      </c>
    </row>
    <row r="110" spans="1:8" s="14" customFormat="1" ht="84.95" customHeight="1" x14ac:dyDescent="0.25">
      <c r="A110" s="80">
        <v>6</v>
      </c>
      <c r="B110" s="26"/>
      <c r="C110" s="24"/>
      <c r="D110" s="26"/>
      <c r="E110" s="22" t="s">
        <v>3658</v>
      </c>
      <c r="F110" s="21"/>
      <c r="G110" s="53"/>
      <c r="H110" s="25" t="s">
        <v>3653</v>
      </c>
    </row>
    <row r="111" spans="1:8" ht="65.099999999999994" customHeight="1" x14ac:dyDescent="0.25">
      <c r="A111" s="80">
        <v>6</v>
      </c>
      <c r="B111" s="19" t="s">
        <v>3604</v>
      </c>
      <c r="C111" s="20"/>
      <c r="D111" s="19" t="s">
        <v>3598</v>
      </c>
      <c r="E111" s="19"/>
      <c r="F111" s="20"/>
      <c r="G111" s="113" t="s">
        <v>3719</v>
      </c>
      <c r="H111" s="113"/>
    </row>
    <row r="112" spans="1:8" s="14" customFormat="1" ht="84.95" customHeight="1" x14ac:dyDescent="0.25">
      <c r="A112" s="80">
        <v>6</v>
      </c>
      <c r="B112" s="22" t="s">
        <v>3605</v>
      </c>
      <c r="C112" s="21"/>
      <c r="D112" s="22"/>
      <c r="E112" s="22" t="s">
        <v>3591</v>
      </c>
      <c r="F112" s="21"/>
      <c r="G112" s="53"/>
      <c r="H112" s="25" t="s">
        <v>3720</v>
      </c>
    </row>
    <row r="113" spans="1:8" s="14" customFormat="1" ht="84.95" customHeight="1" x14ac:dyDescent="0.25">
      <c r="A113" s="80">
        <v>6</v>
      </c>
      <c r="B113" s="26"/>
      <c r="C113" s="24"/>
      <c r="D113" s="26"/>
      <c r="E113" s="22" t="s">
        <v>3592</v>
      </c>
      <c r="F113" s="21"/>
      <c r="G113" s="53"/>
      <c r="H113" s="25" t="s">
        <v>3654</v>
      </c>
    </row>
    <row r="114" spans="1:8" s="14" customFormat="1" ht="84.95" customHeight="1" x14ac:dyDescent="0.25">
      <c r="A114" s="80">
        <v>6</v>
      </c>
      <c r="B114" s="26"/>
      <c r="C114" s="24"/>
      <c r="D114" s="26"/>
      <c r="E114" s="22" t="s">
        <v>3593</v>
      </c>
      <c r="F114" s="21"/>
      <c r="G114" s="53"/>
      <c r="H114" s="25" t="s">
        <v>3721</v>
      </c>
    </row>
    <row r="115" spans="1:8" ht="65.099999999999994" customHeight="1" x14ac:dyDescent="0.25">
      <c r="A115" s="80">
        <v>6</v>
      </c>
      <c r="B115" s="19" t="s">
        <v>3604</v>
      </c>
      <c r="C115" s="20"/>
      <c r="D115" s="19" t="s">
        <v>3626</v>
      </c>
      <c r="E115" s="19"/>
      <c r="F115" s="20"/>
      <c r="G115" s="113" t="s">
        <v>3655</v>
      </c>
      <c r="H115" s="113"/>
    </row>
    <row r="116" spans="1:8" s="14" customFormat="1" ht="84.95" customHeight="1" x14ac:dyDescent="0.25">
      <c r="A116" s="80">
        <v>6</v>
      </c>
      <c r="B116" s="22" t="s">
        <v>3605</v>
      </c>
      <c r="C116" s="21"/>
      <c r="D116" s="22"/>
      <c r="E116" s="22" t="s">
        <v>3591</v>
      </c>
      <c r="F116" s="21"/>
      <c r="G116" s="53"/>
      <c r="H116" s="25" t="s">
        <v>3656</v>
      </c>
    </row>
    <row r="117" spans="1:8" s="14" customFormat="1" ht="84.95" customHeight="1" x14ac:dyDescent="0.25">
      <c r="A117" s="80">
        <v>6</v>
      </c>
      <c r="B117" s="23"/>
      <c r="C117" s="24"/>
      <c r="D117" s="26"/>
      <c r="E117" s="22" t="s">
        <v>3592</v>
      </c>
      <c r="F117" s="21"/>
      <c r="G117" s="53"/>
      <c r="H117" s="25" t="s">
        <v>3722</v>
      </c>
    </row>
    <row r="118" spans="1:8" s="14" customFormat="1" ht="84.95" customHeight="1" x14ac:dyDescent="0.25">
      <c r="A118" s="80">
        <v>6</v>
      </c>
      <c r="B118" s="23"/>
      <c r="C118" s="24"/>
      <c r="D118" s="26"/>
      <c r="E118" s="22" t="s">
        <v>3593</v>
      </c>
      <c r="F118" s="21"/>
      <c r="G118" s="53"/>
      <c r="H118" s="25" t="s">
        <v>3657</v>
      </c>
    </row>
    <row r="119" spans="1:8" ht="7.5" customHeight="1" x14ac:dyDescent="0.25">
      <c r="A119" s="81">
        <v>6</v>
      </c>
      <c r="B119" s="50"/>
      <c r="C119" s="51"/>
      <c r="D119" s="51"/>
      <c r="E119" s="51"/>
      <c r="F119" s="51"/>
      <c r="G119" s="51"/>
      <c r="H119" s="52"/>
    </row>
    <row r="120" spans="1:8" ht="75" customHeight="1" x14ac:dyDescent="0.25">
      <c r="A120" s="80">
        <v>7</v>
      </c>
      <c r="B120" s="16" t="s">
        <v>3587</v>
      </c>
      <c r="C120" s="17">
        <v>7</v>
      </c>
      <c r="D120" s="18"/>
      <c r="E120" s="18"/>
      <c r="F120" s="114" t="s">
        <v>3659</v>
      </c>
      <c r="G120" s="114"/>
      <c r="H120" s="114"/>
    </row>
    <row r="121" spans="1:8" ht="65.099999999999994" customHeight="1" x14ac:dyDescent="0.25">
      <c r="A121" s="80">
        <v>7</v>
      </c>
      <c r="B121" s="19" t="s">
        <v>3604</v>
      </c>
      <c r="C121" s="20"/>
      <c r="D121" s="19" t="s">
        <v>3588</v>
      </c>
      <c r="E121" s="19"/>
      <c r="F121" s="20"/>
      <c r="G121" s="116" t="s">
        <v>3660</v>
      </c>
      <c r="H121" s="116"/>
    </row>
    <row r="122" spans="1:8" ht="84.95" customHeight="1" x14ac:dyDescent="0.25">
      <c r="A122" s="80">
        <v>7</v>
      </c>
      <c r="B122" s="22" t="s">
        <v>3605</v>
      </c>
      <c r="C122" s="21"/>
      <c r="D122" s="22"/>
      <c r="E122" s="22" t="s">
        <v>3591</v>
      </c>
      <c r="F122" s="21"/>
      <c r="G122" s="21"/>
      <c r="H122" s="55" t="s">
        <v>3661</v>
      </c>
    </row>
    <row r="123" spans="1:8" ht="84.95" customHeight="1" x14ac:dyDescent="0.25">
      <c r="A123" s="80">
        <v>7</v>
      </c>
      <c r="B123" s="26"/>
      <c r="C123" s="24"/>
      <c r="D123" s="26"/>
      <c r="E123" s="22" t="s">
        <v>3592</v>
      </c>
      <c r="F123" s="21"/>
      <c r="G123" s="21"/>
      <c r="H123" s="55" t="s">
        <v>3723</v>
      </c>
    </row>
    <row r="124" spans="1:8" ht="65.099999999999994" customHeight="1" x14ac:dyDescent="0.25">
      <c r="A124" s="80">
        <v>7</v>
      </c>
      <c r="B124" s="19" t="s">
        <v>3604</v>
      </c>
      <c r="C124" s="20"/>
      <c r="D124" s="19" t="s">
        <v>3597</v>
      </c>
      <c r="E124" s="19"/>
      <c r="F124" s="20"/>
      <c r="G124" s="116" t="s">
        <v>3662</v>
      </c>
      <c r="H124" s="116"/>
    </row>
    <row r="125" spans="1:8" ht="84.95" customHeight="1" x14ac:dyDescent="0.25">
      <c r="A125" s="80">
        <v>7</v>
      </c>
      <c r="B125" s="22" t="s">
        <v>3605</v>
      </c>
      <c r="C125" s="21"/>
      <c r="D125" s="22"/>
      <c r="E125" s="22" t="s">
        <v>3591</v>
      </c>
      <c r="F125" s="21"/>
      <c r="G125" s="21"/>
      <c r="H125" s="55" t="s">
        <v>3663</v>
      </c>
    </row>
    <row r="126" spans="1:8" ht="84.95" customHeight="1" x14ac:dyDescent="0.25">
      <c r="A126" s="80">
        <v>7</v>
      </c>
      <c r="B126" s="26"/>
      <c r="C126" s="24"/>
      <c r="D126" s="26"/>
      <c r="E126" s="22" t="s">
        <v>3592</v>
      </c>
      <c r="F126" s="21"/>
      <c r="G126" s="21"/>
      <c r="H126" s="55" t="s">
        <v>3664</v>
      </c>
    </row>
    <row r="127" spans="1:8" ht="84.95" customHeight="1" x14ac:dyDescent="0.25">
      <c r="A127" s="80">
        <v>7</v>
      </c>
      <c r="B127" s="26"/>
      <c r="C127" s="24"/>
      <c r="D127" s="26"/>
      <c r="E127" s="22" t="s">
        <v>3593</v>
      </c>
      <c r="F127" s="21"/>
      <c r="G127" s="21"/>
      <c r="H127" s="55" t="s">
        <v>3665</v>
      </c>
    </row>
    <row r="128" spans="1:8" ht="65.099999999999994" customHeight="1" x14ac:dyDescent="0.25">
      <c r="A128" s="80">
        <v>7</v>
      </c>
      <c r="B128" s="19" t="s">
        <v>3604</v>
      </c>
      <c r="C128" s="20"/>
      <c r="D128" s="19" t="s">
        <v>3598</v>
      </c>
      <c r="E128" s="19"/>
      <c r="F128" s="20"/>
      <c r="G128" s="116" t="s">
        <v>3666</v>
      </c>
      <c r="H128" s="116"/>
    </row>
    <row r="129" spans="1:8" ht="84.95" customHeight="1" x14ac:dyDescent="0.25">
      <c r="A129" s="80">
        <v>7</v>
      </c>
      <c r="B129" s="22" t="s">
        <v>3605</v>
      </c>
      <c r="C129" s="21"/>
      <c r="D129" s="22"/>
      <c r="E129" s="22" t="s">
        <v>3591</v>
      </c>
      <c r="F129" s="21"/>
      <c r="G129" s="21"/>
      <c r="H129" s="55" t="s">
        <v>3667</v>
      </c>
    </row>
    <row r="130" spans="1:8" ht="84.95" customHeight="1" x14ac:dyDescent="0.25">
      <c r="A130" s="80">
        <v>7</v>
      </c>
      <c r="B130" s="23"/>
      <c r="C130" s="24"/>
      <c r="D130" s="26"/>
      <c r="E130" s="22" t="s">
        <v>3592</v>
      </c>
      <c r="F130" s="21"/>
      <c r="G130" s="21"/>
      <c r="H130" s="55" t="s">
        <v>3668</v>
      </c>
    </row>
    <row r="131" spans="1:8" ht="84.95" customHeight="1" x14ac:dyDescent="0.25">
      <c r="A131" s="80">
        <v>7</v>
      </c>
      <c r="B131" s="23"/>
      <c r="C131" s="24"/>
      <c r="D131" s="26"/>
      <c r="E131" s="22" t="s">
        <v>3593</v>
      </c>
      <c r="F131" s="21"/>
      <c r="G131" s="21"/>
      <c r="H131" s="55" t="s">
        <v>3669</v>
      </c>
    </row>
    <row r="132" spans="1:8" ht="7.5" customHeight="1" x14ac:dyDescent="0.25">
      <c r="A132" s="82">
        <v>7</v>
      </c>
      <c r="B132" s="83"/>
      <c r="C132" s="84"/>
      <c r="D132" s="84"/>
      <c r="E132" s="84"/>
      <c r="F132" s="84"/>
      <c r="G132" s="84"/>
      <c r="H132" s="85"/>
    </row>
  </sheetData>
  <autoFilter ref="A1:A132"/>
  <mergeCells count="31">
    <mergeCell ref="G124:H124"/>
    <mergeCell ref="G128:H128"/>
    <mergeCell ref="G103:H103"/>
    <mergeCell ref="G111:H111"/>
    <mergeCell ref="G115:H115"/>
    <mergeCell ref="F120:H120"/>
    <mergeCell ref="G121:H121"/>
    <mergeCell ref="G79:H79"/>
    <mergeCell ref="G84:H84"/>
    <mergeCell ref="G89:H89"/>
    <mergeCell ref="F94:H94"/>
    <mergeCell ref="G95:H95"/>
    <mergeCell ref="G66:H66"/>
    <mergeCell ref="G69:H69"/>
    <mergeCell ref="G73:H73"/>
    <mergeCell ref="F78:H78"/>
    <mergeCell ref="F51:H51"/>
    <mergeCell ref="G52:H52"/>
    <mergeCell ref="G61:H61"/>
    <mergeCell ref="G57:H57"/>
    <mergeCell ref="F65:H65"/>
    <mergeCell ref="G25:H25"/>
    <mergeCell ref="G31:H31"/>
    <mergeCell ref="G38:H38"/>
    <mergeCell ref="G43:H43"/>
    <mergeCell ref="G20:H20"/>
    <mergeCell ref="G13:H13"/>
    <mergeCell ref="F3:H3"/>
    <mergeCell ref="G4:H4"/>
    <mergeCell ref="G9:H9"/>
    <mergeCell ref="F19:H1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16" workbookViewId="0">
      <selection activeCell="D29" sqref="D29"/>
    </sheetView>
  </sheetViews>
  <sheetFormatPr defaultRowHeight="15" x14ac:dyDescent="0.25"/>
  <cols>
    <col min="1" max="1" width="41.7109375" customWidth="1"/>
    <col min="2" max="2" width="1" customWidth="1"/>
    <col min="3" max="3" width="13.42578125" customWidth="1"/>
  </cols>
  <sheetData>
    <row r="1" spans="1:3" x14ac:dyDescent="0.25">
      <c r="A1" s="94" t="s">
        <v>3745</v>
      </c>
      <c r="B1" s="11"/>
      <c r="C1" s="94" t="s">
        <v>3746</v>
      </c>
    </row>
    <row r="2" spans="1:3" x14ac:dyDescent="0.25">
      <c r="B2" s="11"/>
    </row>
    <row r="3" spans="1:3" x14ac:dyDescent="0.25">
      <c r="A3" t="s">
        <v>3747</v>
      </c>
      <c r="B3" s="11"/>
      <c r="C3">
        <v>10</v>
      </c>
    </row>
    <row r="4" spans="1:3" x14ac:dyDescent="0.25">
      <c r="A4" t="s">
        <v>3750</v>
      </c>
      <c r="B4" s="11"/>
      <c r="C4">
        <v>15</v>
      </c>
    </row>
    <row r="5" spans="1:3" x14ac:dyDescent="0.25">
      <c r="A5" t="s">
        <v>3748</v>
      </c>
      <c r="B5" s="11"/>
      <c r="C5">
        <v>20</v>
      </c>
    </row>
    <row r="6" spans="1:3" x14ac:dyDescent="0.25">
      <c r="A6" t="s">
        <v>3751</v>
      </c>
      <c r="B6" s="11"/>
      <c r="C6">
        <v>30</v>
      </c>
    </row>
    <row r="7" spans="1:3" x14ac:dyDescent="0.25">
      <c r="A7" t="s">
        <v>3752</v>
      </c>
      <c r="B7" s="11"/>
      <c r="C7">
        <v>35</v>
      </c>
    </row>
    <row r="8" spans="1:3" x14ac:dyDescent="0.25">
      <c r="A8" t="s">
        <v>3753</v>
      </c>
      <c r="B8" s="11"/>
      <c r="C8">
        <v>40</v>
      </c>
    </row>
    <row r="9" spans="1:3" x14ac:dyDescent="0.25">
      <c r="A9" t="s">
        <v>3754</v>
      </c>
      <c r="B9" s="11"/>
      <c r="C9">
        <v>45</v>
      </c>
    </row>
    <row r="10" spans="1:3" x14ac:dyDescent="0.25">
      <c r="A10" t="s">
        <v>3755</v>
      </c>
      <c r="B10" s="11"/>
      <c r="C10">
        <v>50</v>
      </c>
    </row>
    <row r="11" spans="1:3" x14ac:dyDescent="0.25">
      <c r="A11" t="s">
        <v>3756</v>
      </c>
      <c r="B11" s="11"/>
      <c r="C11">
        <v>55</v>
      </c>
    </row>
    <row r="12" spans="1:3" x14ac:dyDescent="0.25">
      <c r="A12" t="s">
        <v>3757</v>
      </c>
      <c r="B12" s="11"/>
      <c r="C12">
        <v>60</v>
      </c>
    </row>
    <row r="13" spans="1:3" x14ac:dyDescent="0.25">
      <c r="A13" t="s">
        <v>3758</v>
      </c>
      <c r="B13" s="11"/>
      <c r="C13">
        <v>65</v>
      </c>
    </row>
    <row r="14" spans="1:3" x14ac:dyDescent="0.25">
      <c r="A14" t="s">
        <v>3759</v>
      </c>
      <c r="B14" s="11"/>
      <c r="C14">
        <v>70</v>
      </c>
    </row>
    <row r="15" spans="1:3" x14ac:dyDescent="0.25">
      <c r="A15" t="s">
        <v>3760</v>
      </c>
      <c r="B15" s="11"/>
      <c r="C15">
        <v>75</v>
      </c>
    </row>
    <row r="16" spans="1:3" x14ac:dyDescent="0.25">
      <c r="A16" t="s">
        <v>3761</v>
      </c>
      <c r="B16" s="11"/>
      <c r="C16">
        <v>80</v>
      </c>
    </row>
    <row r="17" spans="1:3" x14ac:dyDescent="0.25">
      <c r="A17" t="s">
        <v>3762</v>
      </c>
      <c r="B17" s="11"/>
      <c r="C17">
        <v>85</v>
      </c>
    </row>
    <row r="18" spans="1:3" x14ac:dyDescent="0.25">
      <c r="A18" t="s">
        <v>3763</v>
      </c>
      <c r="B18" s="11"/>
      <c r="C18">
        <v>90</v>
      </c>
    </row>
    <row r="19" spans="1:3" x14ac:dyDescent="0.25">
      <c r="A19" t="s">
        <v>3764</v>
      </c>
      <c r="B19" s="11"/>
      <c r="C19">
        <v>95</v>
      </c>
    </row>
    <row r="20" spans="1:3" x14ac:dyDescent="0.25">
      <c r="A20" t="s">
        <v>3765</v>
      </c>
      <c r="B20" s="11"/>
      <c r="C20">
        <v>100</v>
      </c>
    </row>
    <row r="21" spans="1:3" x14ac:dyDescent="0.25">
      <c r="A21" t="s">
        <v>3766</v>
      </c>
      <c r="B21" s="11"/>
      <c r="C21">
        <v>105</v>
      </c>
    </row>
    <row r="22" spans="1:3" x14ac:dyDescent="0.25">
      <c r="A22" t="s">
        <v>3767</v>
      </c>
      <c r="B22" s="11"/>
      <c r="C22">
        <v>110</v>
      </c>
    </row>
    <row r="23" spans="1:3" x14ac:dyDescent="0.25">
      <c r="A23" t="s">
        <v>3768</v>
      </c>
      <c r="B23" s="11"/>
      <c r="C23">
        <v>115</v>
      </c>
    </row>
    <row r="24" spans="1:3" x14ac:dyDescent="0.25">
      <c r="A24" t="s">
        <v>821</v>
      </c>
      <c r="B24" s="11"/>
      <c r="C24">
        <v>0</v>
      </c>
    </row>
    <row r="25" spans="1:3" x14ac:dyDescent="0.25">
      <c r="A25" t="s">
        <v>3772</v>
      </c>
      <c r="B25" s="11"/>
      <c r="C25">
        <v>99</v>
      </c>
    </row>
    <row r="26" spans="1:3" x14ac:dyDescent="0.25">
      <c r="A26" t="s">
        <v>3779</v>
      </c>
      <c r="B26" s="11"/>
      <c r="C26">
        <v>900</v>
      </c>
    </row>
    <row r="27" spans="1:3" x14ac:dyDescent="0.25">
      <c r="A27" t="s">
        <v>3793</v>
      </c>
      <c r="C27">
        <v>800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tabSelected="1" zoomScale="80" zoomScaleNormal="80" workbookViewId="0">
      <pane ySplit="1" topLeftCell="A88" activePane="bottomLeft" state="frozen"/>
      <selection pane="bottomLeft"/>
    </sheetView>
  </sheetViews>
  <sheetFormatPr defaultRowHeight="15" x14ac:dyDescent="0.25"/>
  <cols>
    <col min="1" max="1" width="8.28515625" style="98" customWidth="1"/>
    <col min="2" max="2" width="29.28515625" style="103" customWidth="1"/>
    <col min="3" max="3" width="15.140625" style="98" customWidth="1"/>
    <col min="4" max="4" width="15.7109375" style="98" customWidth="1"/>
    <col min="5" max="5" width="42.7109375" style="103" customWidth="1"/>
    <col min="6" max="6" width="25.140625" style="9" customWidth="1"/>
    <col min="7" max="7" width="3.28515625" style="9" customWidth="1"/>
    <col min="8" max="8" width="12.5703125" style="98" customWidth="1"/>
    <col min="9" max="10" width="9.140625" style="98"/>
    <col min="11" max="11" width="11" style="98" customWidth="1"/>
    <col min="12" max="12" width="13.7109375" style="98" customWidth="1"/>
    <col min="13" max="13" width="14" style="98" customWidth="1"/>
    <col min="14" max="14" width="9.140625" style="98"/>
    <col min="15" max="16384" width="9.140625" style="4"/>
  </cols>
  <sheetData>
    <row r="1" spans="1:14" ht="30" x14ac:dyDescent="0.25">
      <c r="A1" s="5" t="s">
        <v>4539</v>
      </c>
      <c r="B1" s="5" t="s">
        <v>3472</v>
      </c>
      <c r="C1" s="5" t="s">
        <v>3473</v>
      </c>
      <c r="D1" s="5" t="s">
        <v>3474</v>
      </c>
      <c r="E1" s="5" t="s">
        <v>3475</v>
      </c>
      <c r="F1" s="5" t="s">
        <v>3542</v>
      </c>
      <c r="G1" s="5"/>
      <c r="H1" s="5" t="s">
        <v>4402</v>
      </c>
      <c r="I1" s="5" t="s">
        <v>4403</v>
      </c>
      <c r="J1" s="5" t="s">
        <v>4404</v>
      </c>
      <c r="K1" s="5" t="s">
        <v>4406</v>
      </c>
      <c r="L1" s="5" t="s">
        <v>4405</v>
      </c>
      <c r="M1" s="5" t="s">
        <v>4407</v>
      </c>
      <c r="N1" s="5" t="s">
        <v>4408</v>
      </c>
    </row>
    <row r="2" spans="1:14" ht="45" x14ac:dyDescent="0.25">
      <c r="A2" s="98">
        <v>2</v>
      </c>
      <c r="B2" s="103" t="s">
        <v>4415</v>
      </c>
      <c r="C2" s="98" t="s">
        <v>3479</v>
      </c>
      <c r="D2" s="98">
        <v>6</v>
      </c>
      <c r="E2" s="103" t="s">
        <v>4505</v>
      </c>
      <c r="K2" s="98" t="s">
        <v>3792</v>
      </c>
      <c r="L2" s="98" t="s">
        <v>3792</v>
      </c>
      <c r="M2" s="98" t="s">
        <v>3792</v>
      </c>
      <c r="N2" s="98" t="s">
        <v>3792</v>
      </c>
    </row>
    <row r="3" spans="1:14" ht="75" x14ac:dyDescent="0.25">
      <c r="A3" s="98">
        <v>40</v>
      </c>
      <c r="B3" s="103" t="s">
        <v>4414</v>
      </c>
      <c r="C3" s="98" t="s">
        <v>3479</v>
      </c>
      <c r="D3" s="98">
        <v>60</v>
      </c>
      <c r="E3" s="103" t="s">
        <v>4506</v>
      </c>
      <c r="J3" s="98" t="s">
        <v>3792</v>
      </c>
    </row>
    <row r="4" spans="1:14" ht="105" x14ac:dyDescent="0.25">
      <c r="A4" s="98">
        <v>410</v>
      </c>
      <c r="B4" s="103" t="s">
        <v>4431</v>
      </c>
      <c r="C4" s="98" t="s">
        <v>3479</v>
      </c>
      <c r="D4" s="98">
        <v>255</v>
      </c>
      <c r="E4" s="103" t="s">
        <v>4504</v>
      </c>
      <c r="K4" s="98" t="s">
        <v>3792</v>
      </c>
    </row>
    <row r="5" spans="1:14" ht="75" x14ac:dyDescent="0.25">
      <c r="B5" s="103" t="s">
        <v>3581</v>
      </c>
      <c r="C5" s="98" t="s">
        <v>3479</v>
      </c>
      <c r="D5" s="98">
        <v>255</v>
      </c>
      <c r="E5" s="103" t="s">
        <v>4416</v>
      </c>
    </row>
    <row r="6" spans="1:14" ht="60" x14ac:dyDescent="0.25">
      <c r="A6" s="98">
        <v>645</v>
      </c>
      <c r="B6" s="109" t="s">
        <v>4447</v>
      </c>
      <c r="C6" s="98" t="s">
        <v>3477</v>
      </c>
      <c r="D6" s="98">
        <v>3</v>
      </c>
      <c r="E6" s="103" t="s">
        <v>4507</v>
      </c>
      <c r="F6" s="9" t="s">
        <v>4540</v>
      </c>
      <c r="M6" s="98" t="s">
        <v>3792</v>
      </c>
    </row>
    <row r="7" spans="1:14" ht="60" x14ac:dyDescent="0.25">
      <c r="A7" s="98">
        <v>650</v>
      </c>
      <c r="B7" s="109" t="s">
        <v>4448</v>
      </c>
      <c r="C7" s="98" t="s">
        <v>3479</v>
      </c>
      <c r="D7" s="98">
        <v>255</v>
      </c>
      <c r="E7" s="103" t="s">
        <v>4508</v>
      </c>
      <c r="M7" s="98" t="s">
        <v>3792</v>
      </c>
    </row>
    <row r="8" spans="1:14" ht="60" x14ac:dyDescent="0.25">
      <c r="A8" s="98">
        <v>655</v>
      </c>
      <c r="B8" s="109" t="s">
        <v>4449</v>
      </c>
      <c r="C8" s="98" t="s">
        <v>3477</v>
      </c>
      <c r="D8" s="98">
        <v>3</v>
      </c>
      <c r="E8" s="103" t="s">
        <v>4509</v>
      </c>
      <c r="F8" s="9" t="s">
        <v>4540</v>
      </c>
      <c r="M8" s="98" t="s">
        <v>3792</v>
      </c>
    </row>
    <row r="9" spans="1:14" ht="60" x14ac:dyDescent="0.25">
      <c r="A9" s="98">
        <v>660</v>
      </c>
      <c r="B9" s="109" t="s">
        <v>4450</v>
      </c>
      <c r="C9" s="98" t="s">
        <v>3479</v>
      </c>
      <c r="D9" s="98">
        <v>255</v>
      </c>
      <c r="E9" s="103" t="s">
        <v>4510</v>
      </c>
      <c r="M9" s="98" t="s">
        <v>3792</v>
      </c>
    </row>
    <row r="10" spans="1:14" ht="90" x14ac:dyDescent="0.25">
      <c r="A10" s="98">
        <v>725</v>
      </c>
      <c r="B10" s="109" t="s">
        <v>4401</v>
      </c>
      <c r="C10" s="98" t="s">
        <v>3477</v>
      </c>
      <c r="D10" s="98">
        <v>4</v>
      </c>
      <c r="E10" s="103" t="s">
        <v>4511</v>
      </c>
      <c r="F10" s="9" t="s">
        <v>4538</v>
      </c>
      <c r="N10" s="98" t="s">
        <v>3792</v>
      </c>
    </row>
    <row r="11" spans="1:14" ht="60" x14ac:dyDescent="0.25">
      <c r="A11" s="98">
        <v>310</v>
      </c>
      <c r="B11" s="109" t="s">
        <v>4422</v>
      </c>
      <c r="C11" s="98" t="s">
        <v>3563</v>
      </c>
      <c r="D11" s="98">
        <v>10</v>
      </c>
      <c r="E11" s="103" t="s">
        <v>4512</v>
      </c>
      <c r="K11" s="98" t="s">
        <v>3792</v>
      </c>
    </row>
    <row r="12" spans="1:14" ht="105" x14ac:dyDescent="0.25">
      <c r="A12" s="98">
        <v>605</v>
      </c>
      <c r="B12" s="103" t="s">
        <v>3476</v>
      </c>
      <c r="C12" s="98" t="s">
        <v>3479</v>
      </c>
      <c r="D12" s="98">
        <v>5</v>
      </c>
      <c r="E12" s="103" t="s">
        <v>4513</v>
      </c>
      <c r="F12" s="98" t="s">
        <v>4503</v>
      </c>
      <c r="M12" s="98" t="s">
        <v>3792</v>
      </c>
    </row>
    <row r="13" spans="1:14" ht="120" x14ac:dyDescent="0.25">
      <c r="A13" s="98">
        <v>615</v>
      </c>
      <c r="B13" s="103" t="s">
        <v>3478</v>
      </c>
      <c r="C13" s="98" t="s">
        <v>3479</v>
      </c>
      <c r="D13" s="98">
        <v>60</v>
      </c>
      <c r="E13" s="103" t="s">
        <v>4514</v>
      </c>
      <c r="M13" s="98" t="s">
        <v>3792</v>
      </c>
    </row>
    <row r="14" spans="1:14" ht="165" x14ac:dyDescent="0.25">
      <c r="A14" s="98">
        <v>340</v>
      </c>
      <c r="B14" s="103" t="s">
        <v>3480</v>
      </c>
      <c r="C14" s="98" t="s">
        <v>3477</v>
      </c>
      <c r="D14" s="98">
        <v>3</v>
      </c>
      <c r="E14" s="103" t="s">
        <v>4427</v>
      </c>
      <c r="F14" s="9" t="s">
        <v>3481</v>
      </c>
      <c r="K14" s="98" t="s">
        <v>3792</v>
      </c>
    </row>
    <row r="15" spans="1:14" ht="90" x14ac:dyDescent="0.25">
      <c r="A15" s="98">
        <v>345</v>
      </c>
      <c r="B15" s="103" t="s">
        <v>3727</v>
      </c>
      <c r="C15" s="98" t="s">
        <v>3479</v>
      </c>
      <c r="D15" s="98">
        <v>50</v>
      </c>
      <c r="E15" s="103" t="s">
        <v>4515</v>
      </c>
      <c r="K15" s="98" t="s">
        <v>3792</v>
      </c>
    </row>
    <row r="16" spans="1:14" ht="165" x14ac:dyDescent="0.25">
      <c r="A16" s="98">
        <v>330</v>
      </c>
      <c r="B16" s="103" t="s">
        <v>3482</v>
      </c>
      <c r="C16" s="98" t="s">
        <v>3477</v>
      </c>
      <c r="D16" s="98">
        <v>3</v>
      </c>
      <c r="E16" s="103" t="s">
        <v>4426</v>
      </c>
      <c r="F16" s="9" t="s">
        <v>3481</v>
      </c>
      <c r="K16" s="98" t="s">
        <v>3792</v>
      </c>
    </row>
    <row r="17" spans="1:14" ht="105" x14ac:dyDescent="0.25">
      <c r="A17" s="98">
        <v>335</v>
      </c>
      <c r="B17" s="103" t="s">
        <v>3728</v>
      </c>
      <c r="C17" s="98" t="s">
        <v>3479</v>
      </c>
      <c r="D17" s="98">
        <v>50</v>
      </c>
      <c r="E17" s="103" t="s">
        <v>4516</v>
      </c>
      <c r="F17" s="97"/>
      <c r="G17" s="97"/>
      <c r="K17" s="98" t="s">
        <v>3792</v>
      </c>
    </row>
    <row r="18" spans="1:14" ht="45" x14ac:dyDescent="0.25">
      <c r="A18" s="98">
        <v>55</v>
      </c>
      <c r="B18" s="103" t="s">
        <v>3565</v>
      </c>
      <c r="C18" s="98" t="s">
        <v>3477</v>
      </c>
      <c r="D18" s="98">
        <v>2</v>
      </c>
      <c r="E18" s="103" t="s">
        <v>4517</v>
      </c>
      <c r="F18" s="97"/>
      <c r="G18" s="97"/>
      <c r="J18" s="98" t="s">
        <v>3792</v>
      </c>
    </row>
    <row r="19" spans="1:14" ht="75" x14ac:dyDescent="0.25">
      <c r="A19" s="98">
        <v>395</v>
      </c>
      <c r="B19" s="103" t="s">
        <v>4410</v>
      </c>
      <c r="C19" s="98" t="s">
        <v>3477</v>
      </c>
      <c r="D19" s="98">
        <v>3</v>
      </c>
      <c r="E19" s="103" t="s">
        <v>4432</v>
      </c>
      <c r="F19" s="97" t="s">
        <v>3780</v>
      </c>
      <c r="G19" s="97"/>
      <c r="K19" s="98" t="s">
        <v>3792</v>
      </c>
    </row>
    <row r="20" spans="1:14" ht="45" x14ac:dyDescent="0.25">
      <c r="A20" s="98">
        <v>309</v>
      </c>
      <c r="B20" s="103" t="s">
        <v>3577</v>
      </c>
      <c r="C20" s="98" t="s">
        <v>3563</v>
      </c>
      <c r="D20" s="98">
        <v>10</v>
      </c>
      <c r="E20" s="103" t="s">
        <v>4518</v>
      </c>
      <c r="L20" s="98" t="s">
        <v>3792</v>
      </c>
    </row>
    <row r="21" spans="1:14" ht="75" x14ac:dyDescent="0.25">
      <c r="A21" s="98">
        <v>720</v>
      </c>
      <c r="B21" s="103" t="s">
        <v>3483</v>
      </c>
      <c r="C21" s="98" t="s">
        <v>3477</v>
      </c>
      <c r="D21" s="98">
        <v>5</v>
      </c>
      <c r="E21" s="103" t="s">
        <v>4519</v>
      </c>
      <c r="F21" s="98" t="s">
        <v>3531</v>
      </c>
      <c r="N21" s="98" t="s">
        <v>3792</v>
      </c>
    </row>
    <row r="22" spans="1:14" ht="60" x14ac:dyDescent="0.25">
      <c r="A22" s="98">
        <v>185</v>
      </c>
      <c r="B22" s="103" t="s">
        <v>3561</v>
      </c>
      <c r="C22" s="98" t="s">
        <v>3563</v>
      </c>
      <c r="D22" s="98">
        <v>10</v>
      </c>
      <c r="E22" s="103" t="s">
        <v>4520</v>
      </c>
      <c r="H22" s="98" t="s">
        <v>3792</v>
      </c>
    </row>
    <row r="23" spans="1:14" ht="45" x14ac:dyDescent="0.25">
      <c r="A23" s="98">
        <v>180</v>
      </c>
      <c r="B23" s="103" t="s">
        <v>3560</v>
      </c>
      <c r="C23" s="98" t="s">
        <v>3563</v>
      </c>
      <c r="D23" s="98">
        <v>10</v>
      </c>
      <c r="E23" s="103" t="s">
        <v>4521</v>
      </c>
      <c r="H23" s="98" t="s">
        <v>3792</v>
      </c>
    </row>
    <row r="24" spans="1:14" ht="60" x14ac:dyDescent="0.25">
      <c r="A24" s="98">
        <v>175</v>
      </c>
      <c r="B24" s="103" t="s">
        <v>3559</v>
      </c>
      <c r="C24" s="98" t="s">
        <v>3563</v>
      </c>
      <c r="D24" s="98">
        <v>10</v>
      </c>
      <c r="E24" s="103" t="s">
        <v>4522</v>
      </c>
      <c r="H24" s="98" t="s">
        <v>3792</v>
      </c>
    </row>
    <row r="25" spans="1:14" ht="60" x14ac:dyDescent="0.25">
      <c r="A25" s="98">
        <v>170</v>
      </c>
      <c r="B25" s="103" t="s">
        <v>3558</v>
      </c>
      <c r="C25" s="98" t="s">
        <v>3477</v>
      </c>
      <c r="D25" s="98">
        <v>3</v>
      </c>
      <c r="E25" s="103" t="s">
        <v>4454</v>
      </c>
      <c r="F25" s="9" t="s">
        <v>3520</v>
      </c>
      <c r="H25" s="98" t="s">
        <v>3792</v>
      </c>
    </row>
    <row r="26" spans="1:14" ht="180" x14ac:dyDescent="0.25">
      <c r="A26" s="98">
        <v>640</v>
      </c>
      <c r="B26" s="109" t="s">
        <v>4446</v>
      </c>
      <c r="C26" s="98" t="s">
        <v>3477</v>
      </c>
      <c r="D26" s="98">
        <v>3</v>
      </c>
      <c r="E26" s="103" t="s">
        <v>4523</v>
      </c>
      <c r="F26" s="9" t="s">
        <v>4537</v>
      </c>
      <c r="M26" s="98" t="s">
        <v>3792</v>
      </c>
    </row>
    <row r="27" spans="1:14" ht="120" x14ac:dyDescent="0.25">
      <c r="A27" s="98">
        <v>45</v>
      </c>
      <c r="B27" s="103" t="s">
        <v>3484</v>
      </c>
      <c r="C27" s="98" t="s">
        <v>3477</v>
      </c>
      <c r="D27" s="98">
        <v>2</v>
      </c>
      <c r="E27" s="103" t="s">
        <v>4524</v>
      </c>
      <c r="F27" s="9" t="s">
        <v>3485</v>
      </c>
      <c r="J27" s="98" t="s">
        <v>3792</v>
      </c>
    </row>
    <row r="28" spans="1:14" ht="90" x14ac:dyDescent="0.25">
      <c r="A28" s="98">
        <v>85</v>
      </c>
      <c r="B28" s="103" t="s">
        <v>3672</v>
      </c>
      <c r="C28" s="98" t="s">
        <v>3479</v>
      </c>
      <c r="D28" s="98">
        <v>3</v>
      </c>
      <c r="E28" s="103" t="s">
        <v>4525</v>
      </c>
      <c r="J28" s="98" t="s">
        <v>3792</v>
      </c>
    </row>
    <row r="29" spans="1:14" ht="60" x14ac:dyDescent="0.25">
      <c r="A29" s="98">
        <v>165</v>
      </c>
      <c r="B29" s="103" t="s">
        <v>3557</v>
      </c>
      <c r="C29" s="98" t="s">
        <v>3479</v>
      </c>
      <c r="D29" s="98">
        <v>50</v>
      </c>
      <c r="E29" s="103" t="s">
        <v>4526</v>
      </c>
      <c r="H29" s="98" t="s">
        <v>3792</v>
      </c>
    </row>
    <row r="30" spans="1:14" ht="274.5" customHeight="1" x14ac:dyDescent="0.25">
      <c r="A30" s="98">
        <v>8</v>
      </c>
      <c r="B30" s="103" t="s">
        <v>3486</v>
      </c>
      <c r="C30" s="98" t="s">
        <v>3477</v>
      </c>
      <c r="D30" s="98">
        <v>3</v>
      </c>
      <c r="E30" s="103" t="s">
        <v>4420</v>
      </c>
      <c r="F30" s="9" t="s">
        <v>3731</v>
      </c>
      <c r="J30" s="98" t="s">
        <v>3792</v>
      </c>
      <c r="K30" s="98" t="s">
        <v>3792</v>
      </c>
      <c r="L30" s="98" t="s">
        <v>3792</v>
      </c>
      <c r="M30" s="98" t="s">
        <v>3792</v>
      </c>
      <c r="N30" s="98" t="s">
        <v>3792</v>
      </c>
    </row>
    <row r="31" spans="1:14" ht="120" x14ac:dyDescent="0.25">
      <c r="A31" s="98">
        <v>9</v>
      </c>
      <c r="B31" s="103" t="s">
        <v>3487</v>
      </c>
      <c r="C31" s="98" t="s">
        <v>3477</v>
      </c>
      <c r="D31" s="98">
        <v>3</v>
      </c>
      <c r="E31" s="103" t="s">
        <v>4421</v>
      </c>
      <c r="F31" s="9" t="s">
        <v>3732</v>
      </c>
      <c r="K31" s="98" t="s">
        <v>3792</v>
      </c>
      <c r="L31" s="98" t="s">
        <v>3792</v>
      </c>
      <c r="M31" s="98" t="s">
        <v>3792</v>
      </c>
      <c r="N31" s="98" t="s">
        <v>3792</v>
      </c>
    </row>
    <row r="32" spans="1:14" ht="120" x14ac:dyDescent="0.25">
      <c r="A32" s="98">
        <v>540</v>
      </c>
      <c r="B32" s="103" t="s">
        <v>3579</v>
      </c>
      <c r="C32" s="98" t="s">
        <v>3479</v>
      </c>
      <c r="D32" s="98">
        <v>6</v>
      </c>
      <c r="E32" s="103" t="s">
        <v>4527</v>
      </c>
      <c r="F32" s="9" t="s">
        <v>4536</v>
      </c>
      <c r="L32" s="98" t="s">
        <v>3792</v>
      </c>
    </row>
    <row r="33" spans="1:14" ht="90" x14ac:dyDescent="0.25">
      <c r="A33" s="98">
        <v>555</v>
      </c>
      <c r="B33" s="103" t="s">
        <v>3488</v>
      </c>
      <c r="C33" s="98" t="s">
        <v>3479</v>
      </c>
      <c r="D33" s="98">
        <v>6</v>
      </c>
      <c r="E33" s="103" t="s">
        <v>4439</v>
      </c>
      <c r="F33" s="9" t="s">
        <v>3489</v>
      </c>
      <c r="L33" s="98" t="s">
        <v>3792</v>
      </c>
    </row>
    <row r="34" spans="1:14" ht="120" x14ac:dyDescent="0.25">
      <c r="A34" s="98">
        <v>560</v>
      </c>
      <c r="B34" s="103" t="s">
        <v>3490</v>
      </c>
      <c r="C34" s="98" t="s">
        <v>3479</v>
      </c>
      <c r="D34" s="98">
        <v>6</v>
      </c>
      <c r="E34" s="103" t="s">
        <v>4440</v>
      </c>
      <c r="F34" s="9" t="s">
        <v>3789</v>
      </c>
      <c r="L34" s="98" t="s">
        <v>3792</v>
      </c>
    </row>
    <row r="35" spans="1:14" ht="120" x14ac:dyDescent="0.25">
      <c r="A35" s="98">
        <v>375</v>
      </c>
      <c r="B35" s="103" t="s">
        <v>3491</v>
      </c>
      <c r="C35" s="98" t="s">
        <v>3477</v>
      </c>
      <c r="D35" s="98">
        <v>2</v>
      </c>
      <c r="E35" s="103" t="s">
        <v>4430</v>
      </c>
      <c r="F35" s="9" t="s">
        <v>3733</v>
      </c>
      <c r="K35" s="98" t="s">
        <v>3792</v>
      </c>
    </row>
    <row r="36" spans="1:14" ht="165" x14ac:dyDescent="0.25">
      <c r="A36" s="98">
        <v>365</v>
      </c>
      <c r="B36" s="103" t="s">
        <v>3546</v>
      </c>
      <c r="C36" s="98" t="s">
        <v>3477</v>
      </c>
      <c r="D36" s="98">
        <v>3</v>
      </c>
      <c r="E36" s="103" t="s">
        <v>4429</v>
      </c>
      <c r="F36" s="9" t="s">
        <v>3481</v>
      </c>
      <c r="K36" s="98" t="s">
        <v>3792</v>
      </c>
    </row>
    <row r="37" spans="1:14" ht="105" x14ac:dyDescent="0.25">
      <c r="A37" s="98">
        <v>370</v>
      </c>
      <c r="B37" s="103" t="s">
        <v>3549</v>
      </c>
      <c r="C37" s="98" t="s">
        <v>3479</v>
      </c>
      <c r="D37" s="98">
        <v>50</v>
      </c>
      <c r="E37" s="103" t="s">
        <v>4528</v>
      </c>
      <c r="K37" s="98" t="s">
        <v>3792</v>
      </c>
    </row>
    <row r="38" spans="1:14" ht="60" x14ac:dyDescent="0.25">
      <c r="A38" s="98">
        <v>360</v>
      </c>
      <c r="B38" s="103" t="s">
        <v>3545</v>
      </c>
      <c r="C38" s="98" t="s">
        <v>3563</v>
      </c>
      <c r="D38" s="98">
        <v>10</v>
      </c>
      <c r="E38" s="104" t="s">
        <v>4455</v>
      </c>
      <c r="K38" s="98" t="s">
        <v>3792</v>
      </c>
    </row>
    <row r="39" spans="1:14" ht="165" x14ac:dyDescent="0.25">
      <c r="A39" s="98">
        <v>350</v>
      </c>
      <c r="B39" s="103" t="s">
        <v>3492</v>
      </c>
      <c r="C39" s="98" t="s">
        <v>3477</v>
      </c>
      <c r="D39" s="98">
        <v>3</v>
      </c>
      <c r="E39" s="103" t="s">
        <v>4428</v>
      </c>
      <c r="F39" s="9" t="s">
        <v>3481</v>
      </c>
      <c r="K39" s="98" t="s">
        <v>3792</v>
      </c>
    </row>
    <row r="40" spans="1:14" ht="90" x14ac:dyDescent="0.25">
      <c r="A40" s="98">
        <v>355</v>
      </c>
      <c r="B40" s="103" t="s">
        <v>3548</v>
      </c>
      <c r="C40" s="98" t="s">
        <v>3479</v>
      </c>
      <c r="D40" s="98">
        <v>50</v>
      </c>
      <c r="E40" s="103" t="s">
        <v>4456</v>
      </c>
      <c r="K40" s="98" t="s">
        <v>3792</v>
      </c>
    </row>
    <row r="41" spans="1:14" ht="105" x14ac:dyDescent="0.25">
      <c r="A41" s="98">
        <v>715</v>
      </c>
      <c r="B41" s="103" t="s">
        <v>3493</v>
      </c>
      <c r="C41" s="98" t="s">
        <v>3477</v>
      </c>
      <c r="D41" s="98">
        <v>5</v>
      </c>
      <c r="E41" s="103" t="s">
        <v>4457</v>
      </c>
      <c r="F41" s="98" t="s">
        <v>3531</v>
      </c>
      <c r="N41" s="98" t="s">
        <v>3792</v>
      </c>
    </row>
    <row r="42" spans="1:14" ht="45" x14ac:dyDescent="0.25">
      <c r="A42" s="98">
        <v>385</v>
      </c>
      <c r="B42" s="103" t="s">
        <v>3547</v>
      </c>
      <c r="C42" s="98" t="s">
        <v>3479</v>
      </c>
      <c r="D42" s="98">
        <v>6</v>
      </c>
      <c r="E42" s="103" t="s">
        <v>4458</v>
      </c>
      <c r="F42" s="98" t="s">
        <v>3532</v>
      </c>
      <c r="K42" s="98" t="s">
        <v>3792</v>
      </c>
    </row>
    <row r="43" spans="1:14" ht="90" x14ac:dyDescent="0.25">
      <c r="A43" s="98">
        <v>545</v>
      </c>
      <c r="B43" s="103" t="s">
        <v>3494</v>
      </c>
      <c r="C43" s="98" t="s">
        <v>3479</v>
      </c>
      <c r="D43" s="98">
        <v>6</v>
      </c>
      <c r="E43" s="103" t="s">
        <v>4541</v>
      </c>
      <c r="F43" s="9" t="s">
        <v>3489</v>
      </c>
      <c r="L43" s="98" t="s">
        <v>3792</v>
      </c>
    </row>
    <row r="44" spans="1:14" ht="60" x14ac:dyDescent="0.25">
      <c r="A44" s="98">
        <v>550</v>
      </c>
      <c r="B44" s="103" t="s">
        <v>3495</v>
      </c>
      <c r="C44" s="98" t="s">
        <v>3477</v>
      </c>
      <c r="D44" s="98">
        <v>2</v>
      </c>
      <c r="E44" s="103" t="s">
        <v>4460</v>
      </c>
      <c r="F44" s="9" t="s">
        <v>3496</v>
      </c>
      <c r="L44" s="98" t="s">
        <v>3792</v>
      </c>
    </row>
    <row r="45" spans="1:14" ht="150" x14ac:dyDescent="0.25">
      <c r="A45" s="98">
        <v>600</v>
      </c>
      <c r="B45" s="103" t="s">
        <v>3786</v>
      </c>
      <c r="C45" s="98" t="s">
        <v>3477</v>
      </c>
      <c r="D45" s="98">
        <v>3</v>
      </c>
      <c r="E45" s="103" t="s">
        <v>4529</v>
      </c>
      <c r="F45" s="9" t="s">
        <v>4542</v>
      </c>
      <c r="M45" s="98" t="s">
        <v>3792</v>
      </c>
    </row>
    <row r="46" spans="1:14" ht="135" x14ac:dyDescent="0.25">
      <c r="A46" s="98">
        <v>500</v>
      </c>
      <c r="B46" s="103" t="s">
        <v>3497</v>
      </c>
      <c r="C46" s="98" t="s">
        <v>3479</v>
      </c>
      <c r="D46" s="98">
        <v>6</v>
      </c>
      <c r="E46" s="103" t="s">
        <v>4461</v>
      </c>
      <c r="F46" s="9" t="s">
        <v>3498</v>
      </c>
      <c r="L46" s="98" t="s">
        <v>3792</v>
      </c>
    </row>
    <row r="47" spans="1:14" ht="90" x14ac:dyDescent="0.25">
      <c r="A47" s="98">
        <v>390</v>
      </c>
      <c r="B47" s="103" t="s">
        <v>4411</v>
      </c>
      <c r="C47" s="98" t="s">
        <v>3477</v>
      </c>
      <c r="D47" s="98">
        <v>3</v>
      </c>
      <c r="E47" s="103" t="s">
        <v>4462</v>
      </c>
      <c r="F47" s="98" t="s">
        <v>3749</v>
      </c>
      <c r="G47" s="97"/>
      <c r="K47" s="98" t="s">
        <v>3792</v>
      </c>
    </row>
    <row r="48" spans="1:14" ht="150" x14ac:dyDescent="0.25">
      <c r="A48" s="98">
        <v>405</v>
      </c>
      <c r="B48" s="103" t="s">
        <v>4412</v>
      </c>
      <c r="C48" s="98" t="s">
        <v>3477</v>
      </c>
      <c r="D48" s="98">
        <v>3</v>
      </c>
      <c r="E48" s="103" t="s">
        <v>4434</v>
      </c>
      <c r="F48" s="99" t="s">
        <v>3781</v>
      </c>
      <c r="G48" s="99"/>
      <c r="K48" s="98" t="s">
        <v>3792</v>
      </c>
    </row>
    <row r="49" spans="1:14" ht="180" x14ac:dyDescent="0.25">
      <c r="A49" s="98">
        <v>510</v>
      </c>
      <c r="B49" s="103" t="s">
        <v>3499</v>
      </c>
      <c r="C49" s="98" t="s">
        <v>3479</v>
      </c>
      <c r="D49" s="98">
        <v>6</v>
      </c>
      <c r="E49" s="103" t="s">
        <v>4463</v>
      </c>
      <c r="F49" s="9" t="s">
        <v>3500</v>
      </c>
      <c r="L49" s="98" t="s">
        <v>3792</v>
      </c>
    </row>
    <row r="50" spans="1:14" ht="105" x14ac:dyDescent="0.25">
      <c r="A50" s="98">
        <v>515</v>
      </c>
      <c r="B50" s="103" t="s">
        <v>3501</v>
      </c>
      <c r="C50" s="98" t="s">
        <v>3477</v>
      </c>
      <c r="D50" s="98">
        <v>2</v>
      </c>
      <c r="E50" s="103" t="s">
        <v>4435</v>
      </c>
      <c r="F50" s="9" t="s">
        <v>3769</v>
      </c>
      <c r="L50" s="98" t="s">
        <v>3792</v>
      </c>
    </row>
    <row r="51" spans="1:14" ht="45" x14ac:dyDescent="0.25">
      <c r="A51" s="98">
        <v>50</v>
      </c>
      <c r="B51" s="103" t="s">
        <v>3564</v>
      </c>
      <c r="C51" s="98" t="s">
        <v>3477</v>
      </c>
      <c r="D51" s="98">
        <v>2</v>
      </c>
      <c r="E51" s="103" t="s">
        <v>4464</v>
      </c>
      <c r="J51" s="98" t="s">
        <v>3792</v>
      </c>
    </row>
    <row r="52" spans="1:14" ht="150" x14ac:dyDescent="0.25">
      <c r="A52" s="98">
        <v>525</v>
      </c>
      <c r="B52" s="103" t="s">
        <v>3502</v>
      </c>
      <c r="C52" s="98" t="s">
        <v>3477</v>
      </c>
      <c r="D52" s="98">
        <v>2</v>
      </c>
      <c r="E52" s="103" t="s">
        <v>4466</v>
      </c>
      <c r="F52" s="9" t="s">
        <v>3773</v>
      </c>
      <c r="L52" s="98" t="s">
        <v>3792</v>
      </c>
    </row>
    <row r="53" spans="1:14" ht="60" x14ac:dyDescent="0.25">
      <c r="A53" s="98">
        <v>530</v>
      </c>
      <c r="B53" s="103" t="s">
        <v>3503</v>
      </c>
      <c r="C53" s="98" t="s">
        <v>3477</v>
      </c>
      <c r="D53" s="98">
        <v>2</v>
      </c>
      <c r="E53" s="103" t="s">
        <v>4437</v>
      </c>
      <c r="F53" s="9" t="s">
        <v>3774</v>
      </c>
      <c r="L53" s="98" t="s">
        <v>3792</v>
      </c>
    </row>
    <row r="54" spans="1:14" ht="30" x14ac:dyDescent="0.25">
      <c r="A54" s="98">
        <v>305</v>
      </c>
      <c r="B54" s="103" t="s">
        <v>3574</v>
      </c>
      <c r="C54" s="98" t="s">
        <v>3479</v>
      </c>
      <c r="D54" s="98">
        <v>50</v>
      </c>
      <c r="E54" s="103" t="s">
        <v>4465</v>
      </c>
      <c r="K54" s="98" t="s">
        <v>3792</v>
      </c>
      <c r="L54" s="98" t="s">
        <v>3792</v>
      </c>
    </row>
    <row r="55" spans="1:14" ht="75" x14ac:dyDescent="0.25">
      <c r="A55" s="98">
        <v>315</v>
      </c>
      <c r="B55" s="103" t="s">
        <v>3504</v>
      </c>
      <c r="C55" s="98" t="s">
        <v>3477</v>
      </c>
      <c r="D55" s="98">
        <v>2</v>
      </c>
      <c r="E55" s="103" t="s">
        <v>4423</v>
      </c>
      <c r="F55" s="9" t="s">
        <v>3530</v>
      </c>
      <c r="K55" s="98" t="s">
        <v>3792</v>
      </c>
      <c r="L55" s="98" t="s">
        <v>3792</v>
      </c>
    </row>
    <row r="56" spans="1:14" ht="45" x14ac:dyDescent="0.25">
      <c r="A56" s="98">
        <v>3</v>
      </c>
      <c r="B56" s="103" t="s">
        <v>3536</v>
      </c>
      <c r="C56" s="98" t="s">
        <v>3479</v>
      </c>
      <c r="D56" s="98">
        <v>5</v>
      </c>
      <c r="E56" s="103" t="s">
        <v>4467</v>
      </c>
      <c r="F56" s="9" t="s">
        <v>3537</v>
      </c>
      <c r="H56" s="98" t="s">
        <v>3792</v>
      </c>
      <c r="I56" s="98" t="s">
        <v>3792</v>
      </c>
      <c r="J56" s="98" t="s">
        <v>3792</v>
      </c>
      <c r="K56" s="98" t="s">
        <v>3792</v>
      </c>
      <c r="L56" s="98" t="s">
        <v>3792</v>
      </c>
      <c r="M56" s="98" t="s">
        <v>3792</v>
      </c>
      <c r="N56" s="98" t="s">
        <v>3792</v>
      </c>
    </row>
    <row r="57" spans="1:14" ht="90" x14ac:dyDescent="0.25">
      <c r="A57" s="98">
        <v>160</v>
      </c>
      <c r="B57" s="103" t="s">
        <v>3540</v>
      </c>
      <c r="C57" s="98" t="s">
        <v>3479</v>
      </c>
      <c r="D57" s="98">
        <v>2</v>
      </c>
      <c r="E57" s="103" t="s">
        <v>3541</v>
      </c>
      <c r="F57" s="9" t="s">
        <v>3500</v>
      </c>
      <c r="H57" s="98" t="s">
        <v>3792</v>
      </c>
    </row>
    <row r="58" spans="1:14" ht="75" x14ac:dyDescent="0.25">
      <c r="A58" s="98">
        <v>150</v>
      </c>
      <c r="B58" s="103" t="s">
        <v>3556</v>
      </c>
      <c r="C58" s="98" t="s">
        <v>3479</v>
      </c>
      <c r="D58" s="98">
        <v>6</v>
      </c>
      <c r="E58" s="103" t="s">
        <v>4468</v>
      </c>
      <c r="H58" s="98" t="s">
        <v>3792</v>
      </c>
    </row>
    <row r="59" spans="1:14" ht="30" x14ac:dyDescent="0.25">
      <c r="A59" s="98">
        <v>300</v>
      </c>
      <c r="B59" s="103" t="s">
        <v>3575</v>
      </c>
      <c r="C59" s="98" t="s">
        <v>3479</v>
      </c>
      <c r="D59" s="98">
        <v>50</v>
      </c>
      <c r="E59" s="103" t="s">
        <v>4469</v>
      </c>
      <c r="K59" s="98" t="s">
        <v>3792</v>
      </c>
      <c r="L59" s="98" t="s">
        <v>3792</v>
      </c>
    </row>
    <row r="60" spans="1:14" ht="75" x14ac:dyDescent="0.25">
      <c r="A60" s="98">
        <v>730</v>
      </c>
      <c r="B60" s="103" t="s">
        <v>3553</v>
      </c>
      <c r="C60" s="98" t="s">
        <v>3479</v>
      </c>
      <c r="D60" s="98">
        <v>10</v>
      </c>
      <c r="E60" s="103" t="s">
        <v>4470</v>
      </c>
      <c r="N60" s="98" t="s">
        <v>3792</v>
      </c>
    </row>
    <row r="61" spans="1:14" ht="45" x14ac:dyDescent="0.25">
      <c r="A61" s="98">
        <v>735</v>
      </c>
      <c r="B61" s="103" t="s">
        <v>3582</v>
      </c>
      <c r="C61" s="98" t="s">
        <v>3479</v>
      </c>
      <c r="D61" s="98">
        <v>35</v>
      </c>
      <c r="E61" s="103" t="s">
        <v>4471</v>
      </c>
      <c r="N61" s="98" t="s">
        <v>3792</v>
      </c>
    </row>
    <row r="62" spans="1:14" ht="30" x14ac:dyDescent="0.25">
      <c r="A62" s="98">
        <v>307</v>
      </c>
      <c r="B62" s="103" t="s">
        <v>3576</v>
      </c>
      <c r="C62" s="98" t="s">
        <v>3479</v>
      </c>
      <c r="D62" s="98">
        <v>50</v>
      </c>
      <c r="E62" s="103" t="s">
        <v>4472</v>
      </c>
      <c r="L62" s="98" t="s">
        <v>3792</v>
      </c>
    </row>
    <row r="63" spans="1:14" ht="45" x14ac:dyDescent="0.25">
      <c r="A63" s="98">
        <v>4</v>
      </c>
      <c r="B63" s="103" t="s">
        <v>3562</v>
      </c>
      <c r="C63" s="98" t="s">
        <v>3563</v>
      </c>
      <c r="D63" s="98">
        <v>10</v>
      </c>
      <c r="E63" s="103" t="s">
        <v>4473</v>
      </c>
      <c r="J63" s="98" t="s">
        <v>3792</v>
      </c>
    </row>
    <row r="64" spans="1:14" ht="75" x14ac:dyDescent="0.25">
      <c r="A64" s="98">
        <v>635</v>
      </c>
      <c r="B64" s="103" t="s">
        <v>3505</v>
      </c>
      <c r="C64" s="98" t="s">
        <v>3477</v>
      </c>
      <c r="D64" s="98">
        <v>3</v>
      </c>
      <c r="E64" s="103" t="s">
        <v>4445</v>
      </c>
      <c r="F64" s="9" t="s">
        <v>3782</v>
      </c>
      <c r="M64" s="98" t="s">
        <v>3792</v>
      </c>
    </row>
    <row r="65" spans="1:14" ht="120" x14ac:dyDescent="0.25">
      <c r="A65" s="98">
        <v>70</v>
      </c>
      <c r="B65" s="103" t="s">
        <v>3506</v>
      </c>
      <c r="C65" s="98" t="s">
        <v>3477</v>
      </c>
      <c r="D65" s="98">
        <v>2</v>
      </c>
      <c r="E65" s="103" t="s">
        <v>4474</v>
      </c>
      <c r="F65" s="9" t="s">
        <v>3507</v>
      </c>
      <c r="J65" s="98" t="s">
        <v>3792</v>
      </c>
    </row>
    <row r="66" spans="1:14" ht="165" x14ac:dyDescent="0.25">
      <c r="A66" s="98">
        <v>75</v>
      </c>
      <c r="B66" s="103" t="s">
        <v>3508</v>
      </c>
      <c r="C66" s="98" t="s">
        <v>3477</v>
      </c>
      <c r="D66" s="98">
        <v>2</v>
      </c>
      <c r="E66" s="103" t="s">
        <v>4475</v>
      </c>
      <c r="F66" s="9" t="s">
        <v>3509</v>
      </c>
      <c r="J66" s="98" t="s">
        <v>3792</v>
      </c>
    </row>
    <row r="67" spans="1:14" ht="45" x14ac:dyDescent="0.25">
      <c r="A67" s="98">
        <v>745</v>
      </c>
      <c r="B67" s="103" t="s">
        <v>4451</v>
      </c>
      <c r="C67" s="98" t="s">
        <v>3563</v>
      </c>
      <c r="D67" s="98">
        <v>10</v>
      </c>
      <c r="E67" s="103" t="s">
        <v>4476</v>
      </c>
      <c r="N67" s="98" t="s">
        <v>3792</v>
      </c>
    </row>
    <row r="68" spans="1:14" ht="90" x14ac:dyDescent="0.25">
      <c r="A68" s="98">
        <v>710</v>
      </c>
      <c r="B68" s="109" t="s">
        <v>4409</v>
      </c>
      <c r="E68" s="103" t="s">
        <v>4477</v>
      </c>
      <c r="N68" s="98" t="s">
        <v>3792</v>
      </c>
    </row>
    <row r="69" spans="1:14" ht="60" x14ac:dyDescent="0.25">
      <c r="A69" s="98">
        <v>750</v>
      </c>
      <c r="B69" s="103" t="s">
        <v>3555</v>
      </c>
      <c r="C69" s="98" t="s">
        <v>3477</v>
      </c>
      <c r="D69" s="98">
        <v>5</v>
      </c>
      <c r="E69" s="103" t="s">
        <v>4478</v>
      </c>
      <c r="N69" s="98" t="s">
        <v>3792</v>
      </c>
    </row>
    <row r="70" spans="1:14" ht="90" x14ac:dyDescent="0.25">
      <c r="A70" s="98">
        <v>760</v>
      </c>
      <c r="B70" s="103" t="s">
        <v>3734</v>
      </c>
      <c r="C70" s="98" t="s">
        <v>3477</v>
      </c>
      <c r="D70" s="98">
        <v>5</v>
      </c>
      <c r="E70" s="103" t="s">
        <v>4479</v>
      </c>
      <c r="N70" s="98" t="s">
        <v>3792</v>
      </c>
    </row>
    <row r="71" spans="1:14" ht="45" x14ac:dyDescent="0.25">
      <c r="A71" s="98">
        <v>700</v>
      </c>
      <c r="B71" s="103" t="s">
        <v>3552</v>
      </c>
      <c r="C71" s="98" t="s">
        <v>3479</v>
      </c>
      <c r="D71" s="98">
        <v>50</v>
      </c>
      <c r="E71" s="103" t="s">
        <v>4480</v>
      </c>
      <c r="N71" s="98" t="s">
        <v>3792</v>
      </c>
    </row>
    <row r="72" spans="1:14" ht="150" x14ac:dyDescent="0.25">
      <c r="A72" s="98">
        <v>755</v>
      </c>
      <c r="B72" s="103" t="s">
        <v>3510</v>
      </c>
      <c r="C72" s="98" t="s">
        <v>3477</v>
      </c>
      <c r="D72" s="98">
        <v>3</v>
      </c>
      <c r="E72" s="103" t="s">
        <v>4453</v>
      </c>
      <c r="F72" s="7" t="s">
        <v>3770</v>
      </c>
      <c r="G72" s="7"/>
      <c r="N72" s="98" t="s">
        <v>3792</v>
      </c>
    </row>
    <row r="73" spans="1:14" ht="45" x14ac:dyDescent="0.25">
      <c r="A73" s="98">
        <v>740</v>
      </c>
      <c r="B73" s="103" t="s">
        <v>3554</v>
      </c>
      <c r="C73" s="98" t="s">
        <v>3563</v>
      </c>
      <c r="D73" s="98">
        <v>10</v>
      </c>
      <c r="E73" s="103" t="s">
        <v>4481</v>
      </c>
      <c r="F73" s="7"/>
      <c r="G73" s="7"/>
      <c r="N73" s="98" t="s">
        <v>3792</v>
      </c>
    </row>
    <row r="74" spans="1:14" ht="165" x14ac:dyDescent="0.25">
      <c r="A74" s="98">
        <v>705</v>
      </c>
      <c r="B74" s="103" t="s">
        <v>3511</v>
      </c>
      <c r="C74" s="98" t="s">
        <v>3477</v>
      </c>
      <c r="D74" s="98">
        <v>3</v>
      </c>
      <c r="E74" s="103" t="s">
        <v>4452</v>
      </c>
      <c r="F74" s="9" t="s">
        <v>3512</v>
      </c>
      <c r="N74" s="98" t="s">
        <v>3792</v>
      </c>
    </row>
    <row r="75" spans="1:14" ht="209.25" customHeight="1" x14ac:dyDescent="0.25">
      <c r="A75" s="98">
        <v>535</v>
      </c>
      <c r="B75" s="103" t="s">
        <v>3513</v>
      </c>
      <c r="C75" s="98" t="s">
        <v>3477</v>
      </c>
      <c r="D75" s="98">
        <v>2</v>
      </c>
      <c r="E75" s="103" t="s">
        <v>4438</v>
      </c>
      <c r="F75" s="9" t="s">
        <v>4543</v>
      </c>
      <c r="L75" s="98" t="s">
        <v>3792</v>
      </c>
    </row>
    <row r="76" spans="1:14" ht="75" x14ac:dyDescent="0.25">
      <c r="A76" s="98">
        <v>100</v>
      </c>
      <c r="B76" s="103" t="s">
        <v>3566</v>
      </c>
      <c r="C76" s="98" t="s">
        <v>3479</v>
      </c>
      <c r="D76" s="98">
        <v>255</v>
      </c>
      <c r="E76" s="103" t="s">
        <v>4482</v>
      </c>
      <c r="J76" s="98" t="s">
        <v>3792</v>
      </c>
    </row>
    <row r="77" spans="1:14" ht="120" x14ac:dyDescent="0.25">
      <c r="A77" s="98">
        <v>205</v>
      </c>
      <c r="B77" s="103" t="s">
        <v>3515</v>
      </c>
      <c r="C77" s="98" t="s">
        <v>3477</v>
      </c>
      <c r="D77" s="98">
        <v>3</v>
      </c>
      <c r="E77" s="103" t="s">
        <v>4530</v>
      </c>
      <c r="F77" s="9" t="s">
        <v>3516</v>
      </c>
      <c r="I77" s="98" t="s">
        <v>3792</v>
      </c>
    </row>
    <row r="78" spans="1:14" ht="45" x14ac:dyDescent="0.25">
      <c r="A78" s="98">
        <v>5</v>
      </c>
      <c r="B78" s="103" t="s">
        <v>3567</v>
      </c>
      <c r="C78" s="98" t="s">
        <v>3479</v>
      </c>
      <c r="D78" s="98">
        <v>50</v>
      </c>
      <c r="E78" s="103" t="s">
        <v>4483</v>
      </c>
      <c r="I78" s="98" t="s">
        <v>3792</v>
      </c>
    </row>
    <row r="79" spans="1:14" ht="45" x14ac:dyDescent="0.25">
      <c r="A79" s="98">
        <v>210</v>
      </c>
      <c r="B79" s="103" t="s">
        <v>3569</v>
      </c>
      <c r="C79" s="98" t="s">
        <v>3477</v>
      </c>
      <c r="D79" s="98">
        <v>5</v>
      </c>
      <c r="E79" s="103" t="s">
        <v>4484</v>
      </c>
      <c r="I79" s="98" t="s">
        <v>3792</v>
      </c>
    </row>
    <row r="80" spans="1:14" ht="135" x14ac:dyDescent="0.25">
      <c r="A80" s="98">
        <v>235</v>
      </c>
      <c r="B80" s="103" t="s">
        <v>3573</v>
      </c>
      <c r="C80" s="98" t="s">
        <v>3479</v>
      </c>
      <c r="D80" s="98">
        <v>25</v>
      </c>
      <c r="E80" s="103" t="s">
        <v>4485</v>
      </c>
      <c r="I80" s="98" t="s">
        <v>3792</v>
      </c>
    </row>
    <row r="81" spans="1:14" ht="75" x14ac:dyDescent="0.25">
      <c r="A81" s="98">
        <v>240</v>
      </c>
      <c r="B81" s="103" t="s">
        <v>3517</v>
      </c>
      <c r="C81" s="98" t="s">
        <v>3479</v>
      </c>
      <c r="D81" s="98">
        <v>6</v>
      </c>
      <c r="E81" s="103" t="s">
        <v>4486</v>
      </c>
      <c r="F81" s="98" t="s">
        <v>3533</v>
      </c>
      <c r="G81" s="98"/>
      <c r="I81" s="98" t="s">
        <v>3792</v>
      </c>
    </row>
    <row r="82" spans="1:14" ht="105" x14ac:dyDescent="0.25">
      <c r="A82" s="98">
        <v>60</v>
      </c>
      <c r="B82" s="103" t="s">
        <v>3585</v>
      </c>
      <c r="C82" s="98" t="s">
        <v>3477</v>
      </c>
      <c r="D82" s="98">
        <v>2</v>
      </c>
      <c r="E82" s="103" t="s">
        <v>4487</v>
      </c>
      <c r="F82" s="9" t="s">
        <v>3514</v>
      </c>
      <c r="J82" s="98" t="s">
        <v>3792</v>
      </c>
    </row>
    <row r="83" spans="1:14" ht="150" x14ac:dyDescent="0.25">
      <c r="A83" s="98">
        <v>65</v>
      </c>
      <c r="B83" s="103" t="s">
        <v>3586</v>
      </c>
      <c r="C83" s="98" t="s">
        <v>3477</v>
      </c>
      <c r="D83" s="98">
        <v>2</v>
      </c>
      <c r="E83" s="103" t="s">
        <v>4531</v>
      </c>
      <c r="F83" s="9" t="s">
        <v>3509</v>
      </c>
      <c r="J83" s="98" t="s">
        <v>3792</v>
      </c>
    </row>
    <row r="84" spans="1:14" ht="60" x14ac:dyDescent="0.25">
      <c r="A84" s="98">
        <v>225</v>
      </c>
      <c r="B84" s="103" t="s">
        <v>3572</v>
      </c>
      <c r="C84" s="98" t="s">
        <v>3479</v>
      </c>
      <c r="D84" s="98">
        <v>25</v>
      </c>
      <c r="E84" s="103" t="s">
        <v>4488</v>
      </c>
      <c r="I84" s="98" t="s">
        <v>3792</v>
      </c>
    </row>
    <row r="85" spans="1:14" ht="75" x14ac:dyDescent="0.25">
      <c r="A85" s="98">
        <v>230</v>
      </c>
      <c r="B85" s="103" t="s">
        <v>3518</v>
      </c>
      <c r="C85" s="98" t="s">
        <v>3479</v>
      </c>
      <c r="D85" s="98">
        <v>6</v>
      </c>
      <c r="E85" s="103" t="s">
        <v>4489</v>
      </c>
      <c r="F85" s="98" t="s">
        <v>3533</v>
      </c>
      <c r="G85" s="98"/>
      <c r="I85" s="98" t="s">
        <v>3792</v>
      </c>
    </row>
    <row r="86" spans="1:14" ht="90" x14ac:dyDescent="0.25">
      <c r="A86" s="98">
        <v>10</v>
      </c>
      <c r="B86" s="103" t="s">
        <v>3568</v>
      </c>
      <c r="C86" s="98" t="s">
        <v>3479</v>
      </c>
      <c r="D86" s="98">
        <v>9</v>
      </c>
      <c r="E86" s="103" t="s">
        <v>4490</v>
      </c>
      <c r="F86" s="98"/>
      <c r="G86" s="98"/>
      <c r="I86" s="98" t="s">
        <v>3792</v>
      </c>
      <c r="K86" s="98" t="s">
        <v>3792</v>
      </c>
      <c r="L86" s="98" t="s">
        <v>3792</v>
      </c>
      <c r="M86" s="98" t="s">
        <v>3792</v>
      </c>
      <c r="N86" s="98" t="s">
        <v>3792</v>
      </c>
    </row>
    <row r="87" spans="1:14" ht="195" x14ac:dyDescent="0.25">
      <c r="A87" s="98">
        <v>220</v>
      </c>
      <c r="B87" s="103" t="s">
        <v>3571</v>
      </c>
      <c r="C87" s="98" t="s">
        <v>3477</v>
      </c>
      <c r="D87" s="98">
        <v>3</v>
      </c>
      <c r="E87" s="103" t="s">
        <v>4491</v>
      </c>
      <c r="F87" s="98"/>
      <c r="G87" s="98"/>
      <c r="I87" s="98" t="s">
        <v>3792</v>
      </c>
    </row>
    <row r="88" spans="1:14" ht="60" x14ac:dyDescent="0.25">
      <c r="A88" s="98">
        <v>215</v>
      </c>
      <c r="B88" s="103" t="s">
        <v>3570</v>
      </c>
      <c r="C88" s="98" t="s">
        <v>3477</v>
      </c>
      <c r="D88" s="98">
        <v>3</v>
      </c>
      <c r="E88" s="103" t="s">
        <v>4492</v>
      </c>
      <c r="F88" s="98"/>
      <c r="G88" s="98"/>
      <c r="I88" s="98" t="s">
        <v>3792</v>
      </c>
    </row>
    <row r="89" spans="1:14" ht="75" x14ac:dyDescent="0.25">
      <c r="A89" s="98">
        <v>200</v>
      </c>
      <c r="B89" s="103" t="s">
        <v>3519</v>
      </c>
      <c r="C89" s="98" t="s">
        <v>3477</v>
      </c>
      <c r="D89" s="98">
        <v>2</v>
      </c>
      <c r="E89" s="103" t="s">
        <v>4493</v>
      </c>
      <c r="F89" s="9" t="s">
        <v>3520</v>
      </c>
      <c r="I89" s="98" t="s">
        <v>3792</v>
      </c>
    </row>
    <row r="90" spans="1:14" ht="225" x14ac:dyDescent="0.25">
      <c r="A90" s="98">
        <v>7</v>
      </c>
      <c r="B90" s="103" t="s">
        <v>3521</v>
      </c>
      <c r="C90" s="98" t="s">
        <v>3477</v>
      </c>
      <c r="D90" s="98">
        <v>3</v>
      </c>
      <c r="E90" s="103" t="s">
        <v>4419</v>
      </c>
      <c r="F90" s="9" t="s">
        <v>3730</v>
      </c>
      <c r="K90" s="98" t="s">
        <v>3792</v>
      </c>
      <c r="L90" s="98" t="s">
        <v>3792</v>
      </c>
      <c r="M90" s="98" t="s">
        <v>3792</v>
      </c>
      <c r="N90" s="98" t="s">
        <v>3792</v>
      </c>
    </row>
    <row r="91" spans="1:14" ht="60" x14ac:dyDescent="0.25">
      <c r="A91" s="98">
        <v>325</v>
      </c>
      <c r="B91" s="103" t="s">
        <v>4532</v>
      </c>
      <c r="C91" s="98" t="s">
        <v>3477</v>
      </c>
      <c r="D91" s="98">
        <v>3</v>
      </c>
      <c r="E91" s="103" t="s">
        <v>4425</v>
      </c>
      <c r="F91" s="98" t="s">
        <v>3534</v>
      </c>
      <c r="G91" s="98"/>
      <c r="K91" s="98" t="s">
        <v>3792</v>
      </c>
      <c r="L91" s="98" t="s">
        <v>3792</v>
      </c>
    </row>
    <row r="92" spans="1:14" ht="90" x14ac:dyDescent="0.25">
      <c r="A92" s="98">
        <v>320</v>
      </c>
      <c r="B92" s="103" t="s">
        <v>4533</v>
      </c>
      <c r="C92" s="98" t="s">
        <v>3477</v>
      </c>
      <c r="D92" s="98">
        <v>3</v>
      </c>
      <c r="E92" s="103" t="s">
        <v>4424</v>
      </c>
      <c r="F92" s="98" t="s">
        <v>3534</v>
      </c>
      <c r="G92" s="98"/>
      <c r="K92" s="98" t="s">
        <v>3792</v>
      </c>
      <c r="L92" s="98" t="s">
        <v>3792</v>
      </c>
    </row>
    <row r="93" spans="1:14" ht="409.5" x14ac:dyDescent="0.25">
      <c r="A93" s="98">
        <v>520</v>
      </c>
      <c r="B93" s="103" t="s">
        <v>3522</v>
      </c>
      <c r="C93" s="98" t="s">
        <v>3477</v>
      </c>
      <c r="D93" s="98">
        <v>3</v>
      </c>
      <c r="E93" s="103" t="s">
        <v>4436</v>
      </c>
      <c r="F93" s="9" t="s">
        <v>4534</v>
      </c>
      <c r="L93" s="98" t="s">
        <v>3792</v>
      </c>
    </row>
    <row r="94" spans="1:14" ht="45" x14ac:dyDescent="0.25">
      <c r="A94" s="98">
        <v>95</v>
      </c>
      <c r="B94" s="103" t="s">
        <v>3729</v>
      </c>
      <c r="C94" s="98" t="s">
        <v>3479</v>
      </c>
      <c r="D94" s="98">
        <v>255</v>
      </c>
      <c r="E94" s="103" t="s">
        <v>4494</v>
      </c>
      <c r="J94" s="98" t="s">
        <v>3792</v>
      </c>
    </row>
    <row r="95" spans="1:14" ht="225" x14ac:dyDescent="0.25">
      <c r="A95" s="98">
        <v>90</v>
      </c>
      <c r="B95" s="103" t="s">
        <v>3523</v>
      </c>
      <c r="C95" s="98" t="s">
        <v>3477</v>
      </c>
      <c r="D95" s="98">
        <v>3</v>
      </c>
      <c r="E95" s="103" t="s">
        <v>4418</v>
      </c>
      <c r="F95" s="9" t="s">
        <v>3524</v>
      </c>
      <c r="J95" s="98" t="s">
        <v>3792</v>
      </c>
    </row>
    <row r="96" spans="1:14" ht="90" x14ac:dyDescent="0.25">
      <c r="A96" s="98">
        <v>620</v>
      </c>
      <c r="B96" s="103" t="s">
        <v>3525</v>
      </c>
      <c r="C96" s="98" t="s">
        <v>3479</v>
      </c>
      <c r="D96" s="98">
        <v>25</v>
      </c>
      <c r="E96" s="103" t="s">
        <v>4495</v>
      </c>
      <c r="F96" s="98" t="s">
        <v>3535</v>
      </c>
      <c r="G96" s="98"/>
      <c r="M96" s="98" t="s">
        <v>3792</v>
      </c>
    </row>
    <row r="97" spans="1:14" ht="75" x14ac:dyDescent="0.25">
      <c r="A97" s="98">
        <v>630</v>
      </c>
      <c r="B97" s="103" t="s">
        <v>3551</v>
      </c>
      <c r="C97" s="98" t="s">
        <v>3479</v>
      </c>
      <c r="D97" s="98">
        <v>6</v>
      </c>
      <c r="E97" s="103" t="s">
        <v>4444</v>
      </c>
      <c r="F97" s="97" t="s">
        <v>3787</v>
      </c>
      <c r="G97" s="98"/>
      <c r="M97" s="98" t="s">
        <v>3792</v>
      </c>
    </row>
    <row r="98" spans="1:14" ht="75" x14ac:dyDescent="0.25">
      <c r="A98" s="98">
        <v>400</v>
      </c>
      <c r="B98" s="106" t="s">
        <v>4413</v>
      </c>
      <c r="C98" s="98" t="s">
        <v>3479</v>
      </c>
      <c r="D98" s="108">
        <v>6</v>
      </c>
      <c r="E98" s="105" t="s">
        <v>4433</v>
      </c>
      <c r="F98" s="97" t="s">
        <v>3787</v>
      </c>
      <c r="G98" s="98"/>
      <c r="K98" s="98" t="s">
        <v>3792</v>
      </c>
    </row>
    <row r="99" spans="1:14" ht="45" x14ac:dyDescent="0.25">
      <c r="A99" s="98">
        <v>312</v>
      </c>
      <c r="B99" s="103" t="s">
        <v>3578</v>
      </c>
      <c r="C99" s="98" t="s">
        <v>3479</v>
      </c>
      <c r="D99" s="98">
        <v>9</v>
      </c>
      <c r="E99" s="103" t="s">
        <v>4496</v>
      </c>
      <c r="F99" s="98"/>
      <c r="G99" s="98"/>
      <c r="L99" s="98" t="s">
        <v>3792</v>
      </c>
    </row>
    <row r="100" spans="1:14" ht="150" x14ac:dyDescent="0.25">
      <c r="A100" s="98">
        <v>80</v>
      </c>
      <c r="B100" s="104" t="s">
        <v>3584</v>
      </c>
      <c r="C100" s="98" t="s">
        <v>3479</v>
      </c>
      <c r="D100" s="98">
        <v>3</v>
      </c>
      <c r="E100" s="103" t="s">
        <v>4417</v>
      </c>
      <c r="F100" s="107" t="s">
        <v>4535</v>
      </c>
      <c r="G100" s="102"/>
      <c r="J100" s="98" t="s">
        <v>3792</v>
      </c>
    </row>
    <row r="101" spans="1:14" ht="120" x14ac:dyDescent="0.25">
      <c r="A101" s="98">
        <v>6</v>
      </c>
      <c r="B101" s="103" t="s">
        <v>3544</v>
      </c>
      <c r="C101" s="98" t="s">
        <v>3479</v>
      </c>
      <c r="D101" s="98">
        <v>10</v>
      </c>
      <c r="E101" s="103" t="s">
        <v>4497</v>
      </c>
      <c r="F101" s="98"/>
      <c r="G101" s="98"/>
      <c r="K101" s="98" t="s">
        <v>3792</v>
      </c>
      <c r="L101" s="98" t="s">
        <v>3792</v>
      </c>
      <c r="M101" s="98" t="s">
        <v>3792</v>
      </c>
      <c r="N101" s="98" t="s">
        <v>3792</v>
      </c>
    </row>
    <row r="102" spans="1:14" ht="75" x14ac:dyDescent="0.25">
      <c r="A102" s="98">
        <v>155</v>
      </c>
      <c r="B102" s="103" t="s">
        <v>3526</v>
      </c>
      <c r="C102" s="98" t="s">
        <v>3477</v>
      </c>
      <c r="D102" s="98">
        <v>2</v>
      </c>
      <c r="E102" s="103" t="s">
        <v>4498</v>
      </c>
      <c r="F102" s="9" t="s">
        <v>4502</v>
      </c>
      <c r="H102" s="98" t="s">
        <v>3792</v>
      </c>
    </row>
    <row r="103" spans="1:14" ht="105" x14ac:dyDescent="0.25">
      <c r="A103" s="98">
        <v>505</v>
      </c>
      <c r="B103" s="103" t="s">
        <v>3583</v>
      </c>
      <c r="C103" s="98" t="s">
        <v>3477</v>
      </c>
      <c r="D103" s="98">
        <v>3</v>
      </c>
      <c r="E103" s="103" t="s">
        <v>4499</v>
      </c>
      <c r="L103" s="98" t="s">
        <v>3792</v>
      </c>
    </row>
    <row r="104" spans="1:14" ht="135" x14ac:dyDescent="0.25">
      <c r="A104" s="98">
        <v>610</v>
      </c>
      <c r="B104" s="103" t="s">
        <v>3527</v>
      </c>
      <c r="C104" s="98" t="s">
        <v>3477</v>
      </c>
      <c r="D104" s="98">
        <v>3</v>
      </c>
      <c r="E104" s="103" t="s">
        <v>4442</v>
      </c>
      <c r="F104" s="9" t="s">
        <v>3783</v>
      </c>
      <c r="M104" s="98" t="s">
        <v>3792</v>
      </c>
    </row>
    <row r="105" spans="1:14" ht="60" x14ac:dyDescent="0.25">
      <c r="A105" s="98">
        <v>625</v>
      </c>
      <c r="B105" s="103" t="s">
        <v>3550</v>
      </c>
      <c r="C105" s="98" t="s">
        <v>3563</v>
      </c>
      <c r="D105" s="98">
        <v>10</v>
      </c>
      <c r="E105" s="103" t="s">
        <v>4443</v>
      </c>
      <c r="F105" s="9" t="s">
        <v>3788</v>
      </c>
      <c r="M105" s="98" t="s">
        <v>3792</v>
      </c>
    </row>
    <row r="106" spans="1:14" ht="60" x14ac:dyDescent="0.25">
      <c r="A106" s="98">
        <v>570</v>
      </c>
      <c r="B106" s="103" t="s">
        <v>3528</v>
      </c>
      <c r="C106" s="98" t="s">
        <v>3477</v>
      </c>
      <c r="D106" s="98">
        <v>2</v>
      </c>
      <c r="E106" s="103" t="s">
        <v>4441</v>
      </c>
      <c r="F106" s="9" t="s">
        <v>3529</v>
      </c>
      <c r="L106" s="98" t="s">
        <v>3792</v>
      </c>
    </row>
    <row r="107" spans="1:14" ht="75" x14ac:dyDescent="0.25">
      <c r="A107" s="98">
        <v>380</v>
      </c>
      <c r="B107" s="103" t="s">
        <v>3580</v>
      </c>
      <c r="C107" s="98" t="s">
        <v>3563</v>
      </c>
      <c r="D107" s="98">
        <v>10</v>
      </c>
      <c r="E107" s="103" t="s">
        <v>4500</v>
      </c>
      <c r="K107" s="98" t="s">
        <v>3792</v>
      </c>
    </row>
    <row r="108" spans="1:14" ht="45" x14ac:dyDescent="0.25">
      <c r="A108" s="98">
        <v>1</v>
      </c>
      <c r="B108" s="103" t="s">
        <v>3543</v>
      </c>
      <c r="C108" s="98" t="s">
        <v>3479</v>
      </c>
      <c r="D108" s="98">
        <v>6</v>
      </c>
      <c r="E108" s="103" t="s">
        <v>4501</v>
      </c>
      <c r="I108" s="98" t="s">
        <v>3792</v>
      </c>
      <c r="K108" s="98" t="s">
        <v>3792</v>
      </c>
      <c r="L108" s="98" t="s">
        <v>3792</v>
      </c>
      <c r="M108" s="98" t="s">
        <v>3792</v>
      </c>
      <c r="N108" s="98" t="s">
        <v>3792</v>
      </c>
    </row>
  </sheetData>
  <sortState ref="A2:N108">
    <sortCondition ref="B2:B108"/>
  </sortState>
  <printOptions horizontalCentered="1" gridLines="1"/>
  <pageMargins left="0.45" right="0.45" top="0.5" bottom="0.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 A_Valid Values</vt:lpstr>
      <vt:lpstr>Tab B_Census Race Codes</vt:lpstr>
      <vt:lpstr>Tab C_Endorsement Codes</vt:lpstr>
      <vt:lpstr>Tab D_OSPI Bldg Codes</vt:lpstr>
      <vt:lpstr>Tab D1_Private Schl Bldg Codes</vt:lpstr>
      <vt:lpstr>Tab E_Institution Codes</vt:lpstr>
      <vt:lpstr>Tab F_Standards_Domains</vt:lpstr>
      <vt:lpstr>Tab G_Basic Skills Assessments</vt:lpstr>
      <vt:lpstr>Tab H_Full List</vt:lpstr>
    </vt:vector>
  </TitlesOfParts>
  <Company>Washington Technology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Greene, Teresa (OFM)</dc:creator>
  <cp:lastModifiedBy>Greene, Teresa (OFM)</cp:lastModifiedBy>
  <cp:lastPrinted>2020-01-15T19:21:46Z</cp:lastPrinted>
  <dcterms:created xsi:type="dcterms:W3CDTF">2019-06-03T17:24:10Z</dcterms:created>
  <dcterms:modified xsi:type="dcterms:W3CDTF">2021-04-06T18:11:30Z</dcterms:modified>
</cp:coreProperties>
</file>